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image/svg+xml" Extension="svg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328"/>
  <workbookPr defaultThemeVersion="166925"/>
  <mc:AlternateContent>
    <mc:Choice Requires="x15">
      <x15ac:absPath xmlns:x15ac="http://schemas.microsoft.com/office/spreadsheetml/2010/11/ac" url="\\ad.mpsv.cz\mpsv\spoldisk\sd_0492\P1_ROVNOST_ŽEN_A_MUŽŮ\1_2_DĚTSKÉ_SKUPINY\080\Kalkulačky\"/>
    </mc:Choice>
  </mc:AlternateContent>
  <xr:revisionPtr documentId="8_{613D286C-9A8E-4A26-B6E7-AA762ACF448A}" revIDLastSave="0" xr10:uidLastSave="{00000000-0000-0000-0000-000000000000}" xr6:coauthVersionLast="47" xr6:coauthVersionMax="47"/>
  <workbookProtection lockStructure="1" workbookAlgorithmName="SHA-512" workbookHashValue="cU35b0VG8DwTQB3PFDrtWW0DG/oF9/cypxVVcJmV4SBe01uwRNnRIoay3+I6xNOeuBgIPYnQmfRJFYCslJjqHw==" workbookSaltValue="uDwFZnWygbPVqCh406tURw==" workbookSpinCount="100000"/>
  <bookViews>
    <workbookView windowHeight="15720" windowWidth="29040" xWindow="-120" xr2:uid="{9D16E2C7-FBFA-4504-B5BF-3BCDA725DBFA}" yWindow="-120"/>
  </bookViews>
  <sheets>
    <sheet name="Kalkulačka" r:id="rId1" sheetId="1"/>
    <sheet name="Finanční plán" r:id="rId2" sheetId="4"/>
    <sheet name="Pomocný list" r:id="rId3" sheetId="2" state="hidden"/>
  </sheets>
  <definedNames>
    <definedName name="kapacita">Kalkulačka!$D$7</definedName>
    <definedName localSheetId="0" name="_xlnm.Print_Area">Kalkulačka!$A$1:$I$56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E10"/>
  <c i="2" r="B10"/>
  <c i="1" r="H21"/>
  <c i="1" r="H20"/>
  <c i="1" r="H19"/>
  <c i="1" r="H18"/>
  <c i="1" r="H17"/>
  <c i="1" l="1" r="H54"/>
  <c i="1" r="D17"/>
  <c i="4" r="B2"/>
  <c i="4" r="G2"/>
  <c i="4" r="C4"/>
  <c i="4" r="B6"/>
  <c i="4" r="B5"/>
  <c i="4" r="B4"/>
  <c i="4" l="1" r="H4"/>
  <c i="1" r="H43"/>
  <c i="1" r="H47"/>
  <c i="1" r="H41"/>
  <c i="1" r="H12"/>
  <c i="1" r="H6"/>
  <c i="1" r="H45"/>
  <c i="1" r="H40"/>
  <c i="1" l="1" r="H48"/>
  <c i="1" r="H42"/>
  <c i="1" r="H46"/>
  <c i="1" r="H10"/>
  <c i="1" r="E12"/>
  <c i="1" r="E11"/>
  <c i="1" r="E9"/>
  <c i="1" r="E8"/>
  <c i="1" l="1" r="H29"/>
  <c i="1" r="B32"/>
  <c i="1" r="B30"/>
  <c i="1" r="H55"/>
  <c i="1" l="1" r="F31"/>
  <c i="1" r="F30"/>
  <c i="1" r="F33"/>
  <c i="1" r="F32"/>
  <c i="1" r="H56"/>
  <c i="1" l="1" r="H57"/>
  <c i="1" r="H58" s="1"/>
  <c i="1" l="1" r="G29"/>
  <c i="1" r="G17"/>
  <c i="1" r="G8"/>
  <c i="1" r="H8" s="1"/>
  <c i="4" l="1" r="H8"/>
  <c i="4" r="C6"/>
  <c i="1" r="G11"/>
  <c i="1" r="H11" s="1"/>
  <c i="1" r="I29"/>
  <c i="1" r="B36"/>
  <c i="1" r="I17"/>
  <c i="1" r="G9"/>
  <c i="1" r="H9" s="1"/>
  <c i="1" r="E6"/>
  <c i="4" l="1" r="C5"/>
  <c i="4" r="H5"/>
  <c i="1" r="G19"/>
  <c i="1" r="G20"/>
  <c i="1" r="G21"/>
  <c i="1" r="G18"/>
  <c i="1" l="1" r="H38"/>
  <c i="1" r="H33"/>
  <c i="1" r="H30"/>
  <c i="1" r="H35"/>
  <c i="1" r="H37"/>
  <c i="1" r="H32"/>
  <c i="1" r="H36"/>
  <c i="1" r="H31"/>
  <c i="1" r="I21"/>
  <c i="1" r="I20"/>
  <c i="1" r="I19"/>
  <c i="1" r="I18"/>
  <c i="1" r="E7"/>
  <c i="1" l="1" r="I22"/>
  <c i="1" r="J17"/>
  <c i="1" r="H7"/>
  <c i="1" l="1" r="I49"/>
  <c i="1" r="G22"/>
  <c i="1" r="I23"/>
  <c i="1" l="1" r="B44"/>
  <c i="1" r="B39"/>
  <c i="1" r="B34"/>
  <c i="4" r="I4"/>
  <c i="4" r="D4"/>
  <c i="1" r="B38"/>
  <c i="1" r="G30"/>
  <c i="1" r="I30" s="1"/>
  <c i="1" l="1" r="F35"/>
  <c i="1" r="G35" s="1"/>
  <c i="1" r="I35" s="1"/>
  <c i="1" r="B41"/>
  <c i="4" r="H6" s="1"/>
  <c i="1" r="F37"/>
  <c i="1" r="G32" s="1"/>
  <c i="1" r="I32" s="1"/>
  <c i="1" r="F36"/>
  <c i="1" r="G31" s="1"/>
  <c i="1" r="I31" s="1"/>
  <c i="1" r="F38"/>
  <c i="1" r="G33" s="1"/>
  <c i="1" r="I33" s="1"/>
  <c i="4" l="1" r="E5"/>
  <c i="4" r="E6" s="1"/>
  <c i="4" r="E7" s="1"/>
  <c i="4" r="J5"/>
  <c i="4" r="I5" s="1"/>
  <c i="1" r="B43"/>
  <c i="1" r="B46" s="1"/>
  <c i="1" r="G37"/>
  <c i="1" r="I37" s="1"/>
  <c i="1" r="I28"/>
  <c i="1" r="G38"/>
  <c i="1" r="I38" s="1"/>
  <c i="1" r="G36"/>
  <c i="1" r="I36" s="1"/>
  <c i="1" l="1" r="B48"/>
  <c i="1" r="F48" s="1"/>
  <c i="1" r="G48" s="1"/>
  <c i="1" r="I48" s="1"/>
  <c i="4" r="H7"/>
  <c i="1" r="F42"/>
  <c i="1" r="G42" s="1"/>
  <c i="1" r="I42" s="1"/>
  <c i="1" r="F43"/>
  <c i="1" r="G43" s="1"/>
  <c i="1" r="I43" s="1"/>
  <c i="1" r="F40"/>
  <c i="1" r="G40" s="1"/>
  <c i="1" r="I40" s="1"/>
  <c i="1" r="F41"/>
  <c i="1" r="G41" s="1"/>
  <c i="1" r="I41" s="1"/>
  <c i="1" r="I34"/>
  <c i="1" l="1" r="F45"/>
  <c i="1" r="G45" s="1"/>
  <c i="1" r="I45" s="1"/>
  <c i="1" r="F46"/>
  <c i="1" r="G46" s="1"/>
  <c i="1" r="I46" s="1"/>
  <c i="4" r="J6"/>
  <c i="4" r="I6" s="1"/>
  <c i="4" r="I7" s="1"/>
  <c i="1" r="F47"/>
  <c i="1" r="G47" s="1"/>
  <c i="1" r="I47" s="1"/>
  <c i="1" r="I39"/>
  <c i="4" r="J7" s="1"/>
  <c i="1" l="1" r="I44"/>
  <c i="1" r="I50" s="1"/>
  <c i="1" r="I55" s="1"/>
  <c i="4" r="J8"/>
  <c i="4" l="1" r="J9"/>
  <c i="4" r="K7" s="1"/>
  <c i="1" r="I56"/>
  <c i="1" r="I57" s="1"/>
  <c i="1" r="I54"/>
  <c i="1" l="1" r="I58"/>
  <c i="4" r="D7"/>
  <c i="4" r="D8" s="1"/>
  <c i="4" r="I9"/>
  <c i="4" r="I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Živec Jan Mgr. (MPSV)</author>
  </authors>
  <commentList>
    <comment authorId="0" ref="D6" shapeId="0" xr:uid="{78E3D721-CB43-4D72-9AF3-5D7DA799DDB9}">
      <text>
        <r>
          <rPr>
            <b/>
            <u/>
            <sz val="9"/>
            <color indexed="81"/>
            <rFont val="Tahoma"/>
            <family val="2"/>
            <charset val="238"/>
          </rPr>
          <t>Vyberte jednu z následujících možností: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• </t>
        </r>
        <r>
          <rPr>
            <b/>
            <sz val="9"/>
            <color indexed="81"/>
            <rFont val="Tahoma"/>
            <family val="2"/>
            <charset val="238"/>
          </rPr>
          <t>Organizační složka státu či obdobná organizace</t>
        </r>
        <r>
          <rPr>
            <sz val="9"/>
            <color indexed="81"/>
            <rFont val="Tahoma"/>
            <family val="2"/>
            <charset val="238"/>
          </rPr>
          <t xml:space="preserve"> (Organizační složka státu, Příspěvková organizace státu, Škola a školské zařízení zřizované ministerstvem dle školského zákona, Státní vysoká škola)
• </t>
        </r>
        <r>
          <rPr>
            <b/>
            <sz val="9"/>
            <color indexed="81"/>
            <rFont val="Tahoma"/>
            <family val="2"/>
            <charset val="238"/>
          </rPr>
          <t>Kraj a jeho organizace</t>
        </r>
        <r>
          <rPr>
            <sz val="9"/>
            <color indexed="81"/>
            <rFont val="Tahoma"/>
            <family val="2"/>
            <charset val="238"/>
          </rPr>
          <t xml:space="preserve"> (Kraj, Příspěvková organizace zřizovaná krajem (s výjimkou škol a školských zařízení, nemocnice založená krajem ve formě obchodní společnosti, ve které drží kraj 100% majetkový podíl))
• </t>
        </r>
        <r>
          <rPr>
            <b/>
            <sz val="9"/>
            <color indexed="81"/>
            <rFont val="Tahoma"/>
            <family val="2"/>
            <charset val="238"/>
          </rPr>
          <t>Obec, svazek obcí nad 3000 obyvatel či jejich organizace</t>
        </r>
        <r>
          <rPr>
            <sz val="9"/>
            <color indexed="81"/>
            <rFont val="Tahoma"/>
            <family val="2"/>
            <charset val="238"/>
          </rPr>
          <t xml:space="preserve"> (Obec, Příspěvková organizace zřízovaná obcí (s výjimkou škol a školských zařízení), Dobrovolný svazek obcí)
• </t>
        </r>
        <r>
          <rPr>
            <b/>
            <sz val="9"/>
            <color indexed="81"/>
            <rFont val="Tahoma"/>
            <family val="2"/>
            <charset val="238"/>
          </rPr>
          <t>Obec, svazek obcí do 3000 obyvatel včetně či jejich organizace</t>
        </r>
        <r>
          <rPr>
            <sz val="9"/>
            <color indexed="81"/>
            <rFont val="Tahoma"/>
            <family val="2"/>
            <charset val="238"/>
          </rPr>
          <t xml:space="preserve"> (Obec, Příspěvková organizace zřízovaná obcí (s výjimkou škol a školských zařízení), Dobrovolný svazek obcí)
• </t>
        </r>
        <r>
          <rPr>
            <b/>
            <sz val="9"/>
            <color indexed="81"/>
            <rFont val="Tahoma"/>
            <family val="2"/>
            <charset val="238"/>
          </rPr>
          <t>Hl. město Praha, jeho městská část či příspěvková organizace</t>
        </r>
        <r>
          <rPr>
            <sz val="9"/>
            <color indexed="81"/>
            <rFont val="Tahoma"/>
            <family val="2"/>
            <charset val="238"/>
          </rPr>
          <t xml:space="preserve"> (s výjimkou škol a školských zařízení)
• </t>
        </r>
        <r>
          <rPr>
            <b/>
            <sz val="9"/>
            <color indexed="81"/>
            <rFont val="Tahoma"/>
            <family val="2"/>
            <charset val="238"/>
          </rPr>
          <t>Právnická osoba vykonávající činnost škol a školských zařízení</t>
        </r>
        <r>
          <rPr>
            <sz val="9"/>
            <color indexed="81"/>
            <rFont val="Tahoma"/>
            <family val="2"/>
            <charset val="238"/>
          </rPr>
          <t xml:space="preserve"> (zapsaná ve školském rejstříku)
• </t>
        </r>
        <r>
          <rPr>
            <b/>
            <sz val="9"/>
            <color indexed="81"/>
            <rFont val="Tahoma"/>
            <family val="2"/>
            <charset val="238"/>
          </rPr>
          <t>Veřejná vysoká škola</t>
        </r>
        <r>
          <rPr>
            <sz val="9"/>
            <color indexed="81"/>
            <rFont val="Tahoma"/>
            <family val="2"/>
            <charset val="238"/>
          </rPr>
          <t xml:space="preserve"> (kromě státních vysokých škol) či výzkumná organizace (dle čl. 2 bod 83 nařízení Komise (EU) č. 651/2014 a dle zákona č. 130/2002 Sb.)
• </t>
        </r>
        <r>
          <rPr>
            <b/>
            <sz val="9"/>
            <color indexed="81"/>
            <rFont val="Tahoma"/>
            <family val="2"/>
            <charset val="238"/>
          </rPr>
          <t>Nestátní nezisková organizace</t>
        </r>
        <r>
          <rPr>
            <sz val="9"/>
            <color indexed="81"/>
            <rFont val="Tahoma"/>
            <family val="2"/>
            <charset val="238"/>
          </rPr>
          <t xml:space="preserve"> (Obecně prospěšná společnost, Spolek, Ústav, Církev či náboženská společnost, Nadace či nadační fond)
• </t>
        </r>
        <r>
          <rPr>
            <b/>
            <sz val="9"/>
            <color indexed="81"/>
            <rFont val="Tahoma"/>
            <family val="2"/>
            <charset val="238"/>
          </rPr>
          <t>Jiný soukromoprávní subjekt vykonávající veřejně prospěšnou činnost než NNO</t>
        </r>
        <r>
          <rPr>
            <sz val="9"/>
            <color indexed="81"/>
            <rFont val="Tahoma"/>
            <family val="2"/>
            <charset val="238"/>
          </rPr>
          <t xml:space="preserve"> (Místní akční skupina, Sociální partner, Hospodářská či Agrární komora, Svaz či asociace)
• </t>
        </r>
        <r>
          <rPr>
            <b/>
            <sz val="9"/>
            <color indexed="81"/>
            <rFont val="Tahoma"/>
            <family val="2"/>
            <charset val="238"/>
          </rPr>
          <t>Ostatní subjekt neobsažený ve výše uvedených kategoriích</t>
        </r>
        <r>
          <rPr>
            <sz val="9"/>
            <color indexed="81"/>
            <rFont val="Tahoma"/>
            <family val="2"/>
            <charset val="238"/>
          </rPr>
          <t xml:space="preserve"> (Obchodní společnost (veřejná obchodní společnost, komanditní společnost, společnost s ručením omezeným, akciová společnost, evropská společnost, evropské zájmové hospodářské sdružení), Státní podnik, Družstvo (družstvo či evropská družstevní společnost), OSVČ, Profesní komora)</t>
        </r>
      </text>
    </comment>
  </commentList>
</comments>
</file>

<file path=xl/sharedStrings.xml><?xml version="1.0" encoding="utf-8"?>
<sst xmlns="http://schemas.openxmlformats.org/spreadsheetml/2006/main" count="225" uniqueCount="93">
  <si>
    <t>Kapacita DS</t>
  </si>
  <si>
    <t>Nový rok</t>
  </si>
  <si>
    <t>Velký pátek</t>
  </si>
  <si>
    <t>Velikonoční pondělí</t>
  </si>
  <si>
    <t>Svátek práce</t>
  </si>
  <si>
    <t>Den vítězství</t>
  </si>
  <si>
    <t>Den věrozvěstů Cyrila a Metoděje</t>
  </si>
  <si>
    <t>Den upálení mistra Jana Husa</t>
  </si>
  <si>
    <t>Den české státnosti</t>
  </si>
  <si>
    <t>Den vzniku Československa</t>
  </si>
  <si>
    <t>Den boje za svobodu a demokracii</t>
  </si>
  <si>
    <t>Štědrý den</t>
  </si>
  <si>
    <t>1. svátek vánoční</t>
  </si>
  <si>
    <t>Počet provozních dnů</t>
  </si>
  <si>
    <t>Jednotka</t>
  </si>
  <si>
    <t>Obsazené místo v dětské skupině za půlden pro mladší děti</t>
  </si>
  <si>
    <t>Obsazené místo v dětské skupině za půlden pro starší děti</t>
  </si>
  <si>
    <t>Stravování v dětské skupině za půlden pro mladší děti</t>
  </si>
  <si>
    <t>Stravování v dětské skupině za půlden pro starší děti</t>
  </si>
  <si>
    <t>Kontrola</t>
  </si>
  <si>
    <t>Počet provozních dnů během realizace projektu</t>
  </si>
  <si>
    <t>Název jednotky</t>
  </si>
  <si>
    <t>Počet jednotek</t>
  </si>
  <si>
    <t>-</t>
  </si>
  <si>
    <t>Celkem</t>
  </si>
  <si>
    <t>Součtový řádek</t>
  </si>
  <si>
    <t>Harmonogram</t>
  </si>
  <si>
    <t>Parametry zařízení</t>
  </si>
  <si>
    <t>2. svátek vánoční</t>
  </si>
  <si>
    <t>Provozní doba</t>
  </si>
  <si>
    <t>Provoz dětské skupiny</t>
  </si>
  <si>
    <t>Vyplňuje žadatel:</t>
  </si>
  <si>
    <t>Rozpady</t>
  </si>
  <si>
    <t>EU</t>
  </si>
  <si>
    <t>SR</t>
  </si>
  <si>
    <t>Nejpozdější termín ukončení realizace</t>
  </si>
  <si>
    <t>Navýšení jednotkových nákladů</t>
  </si>
  <si>
    <t>Aktivita</t>
  </si>
  <si>
    <t>Období</t>
  </si>
  <si>
    <t>Celkové způsobilé výdaje projektu</t>
  </si>
  <si>
    <t>Právní forma žadatele</t>
  </si>
  <si>
    <t>Vytvoření dětské skupiny</t>
  </si>
  <si>
    <t>Vytvořené místo v dětské skupině</t>
  </si>
  <si>
    <t>Délka trvání projektu
(v měsících)</t>
  </si>
  <si>
    <t>Organizační složka státu či obdobná organizace (Organizační složka státu, Příspěvková organizace státu, Škola a školské zařízení zřizované ministerstvem dle školského zákona, Státní vysoká škola)</t>
  </si>
  <si>
    <t>Kraj a jeho organizace (Kraj, Příspěvková organizace zřizovaná krajem (s výjimkou škol a školských zařízení, nemocnice založená krajem ve formě obchodní společnosti, ve které drží kraj 100% majetkový podíl))</t>
  </si>
  <si>
    <t>Hl. město Praha, jeho městská část či příspěvková organizace (s výjimkou škol a školských zařízení)</t>
  </si>
  <si>
    <t>Právnická osoba vykonávající činnost škol a školských zařízení (zapsaná ve školském rejstříku)</t>
  </si>
  <si>
    <t>Veřejná vysoká škola (kromě státních vysokých škol) či výzkumná organizace (dle čl. 2 bod 83 nařízení Komise (EU) č. 651/2014 a dle zákona č. 130/2002 Sb.)</t>
  </si>
  <si>
    <t>Ostatní subjekt neobsažený ve výše uvedených kategoriích (Obchodní společnost (v.o.s., k.s., s.r.o., a.s., SE, EHZS), Státní podnik, Družstvo (družstvo či evropská družstevní společnost), OSVČ, Profesní komora)</t>
  </si>
  <si>
    <t>Vlastní podíl příjemce</t>
  </si>
  <si>
    <t>Dotace celkem po odečtení spolufinancování</t>
  </si>
  <si>
    <t>Obec, svazek obcí nad 3000 obyvatel či jejich organizace (Obec, Příspěvková organizace zřízovaná obcí (s výjimkou škol a školských zařízení), Dobrovolný svazek obcí)</t>
  </si>
  <si>
    <t>Obec, svazek obcí do 3000 obyvatel včetně či jejich organizace (Obec, Příspěvková organizace zřízovaná obcí (s výjimkou škol a školských zařízení), Dobrovolný svazek obcí)</t>
  </si>
  <si>
    <t>Podíl ESF+ na podpoře z OPZ+</t>
  </si>
  <si>
    <t>Podíl státního rozpočtu na podpoře z OPZ+</t>
  </si>
  <si>
    <t>Rozpad zdrojů financování</t>
  </si>
  <si>
    <t>Vytvořené místo v dětské skupině (bez DPH)</t>
  </si>
  <si>
    <t>Vytvořené místo v dětské skupině (vč. DPH)</t>
  </si>
  <si>
    <t>Rozpočet žádosti o podporu:</t>
  </si>
  <si>
    <t>Jednotkový náklad</t>
  </si>
  <si>
    <t>Datum ukončení realizace projektu</t>
  </si>
  <si>
    <t>Plánovaný počet obsazených míst v DS mladšími dětmi</t>
  </si>
  <si>
    <t>Plánovaný počet kapacitních míst pro čerpání stravného pro mladší děti</t>
  </si>
  <si>
    <t>Plánovaný počet obsazených míst v DS staršími dětmi</t>
  </si>
  <si>
    <t>Plánovaný počet kapacitních míst pro čerpání stravného pro starší děti</t>
  </si>
  <si>
    <t>Nestátní nezisková organizace (Obecně prospěšná společnost, Spolek, Ústav, Církev či náboženská společnost, Nadace či nadační fond)</t>
  </si>
  <si>
    <t>Jiný soukromoprávní subjekt vykonávající veřejně prospěšnou činnost než NNO (Místní akční skupina, Sociální partner, Hospodářská či Agrární komora, Svaz či asociace)</t>
  </si>
  <si>
    <t>vyhlášení výzvy</t>
  </si>
  <si>
    <t>DPH ve vztahu k projektu</t>
  </si>
  <si>
    <t>Částka na krytí výdajů – plán</t>
  </si>
  <si>
    <t>Vyúčtování – plán</t>
  </si>
  <si>
    <t>Aktivita
"Navýšení jednotkových nákladů"</t>
  </si>
  <si>
    <t>Datum předložení</t>
  </si>
  <si>
    <t>Pořadí</t>
  </si>
  <si>
    <t>EX ANTE</t>
  </si>
  <si>
    <t>Pracovní dny</t>
  </si>
  <si>
    <t>Zvolte režim financování</t>
  </si>
  <si>
    <t>Jednotkový náklad (v Kč) 2025</t>
  </si>
  <si>
    <t>Datum</t>
  </si>
  <si>
    <t>Státní svátek</t>
  </si>
  <si>
    <t>Kalkulačka k žádosti o podporu ve výzvě č. 080 OPZ+ (Vybudování dětských skupin (3))</t>
  </si>
  <si>
    <t>nejzazší datum zahájení</t>
  </si>
  <si>
    <t>Navýšení:</t>
  </si>
  <si>
    <t>Zeleně: k úpravě</t>
  </si>
  <si>
    <t>*v případě změny seznamu je potřeba upravit i rozsah v ověření dat u buňky G12 na listu Kalkulačka</t>
  </si>
  <si>
    <t>Nejpozdější termín zahájení provozu</t>
  </si>
  <si>
    <t>pouze pomocné pole pro ověření dat, nevyplývá z textu výzvy</t>
  </si>
  <si>
    <t>1. SLEDOVANÉ OBDOBÍ - Vytvoření dětské skupiny + Provoz dětské skupiny (1. měsíc)</t>
  </si>
  <si>
    <t>Navýšení jednotkových nákladů (15 % z celkových způsobilých výdajů na aktivitu "Provoz dětské skupiny")</t>
  </si>
  <si>
    <t>Datum zahájení aktivity
"Vytvoření DS"
(zahájení realizace projektu)</t>
  </si>
  <si>
    <t>Datum zahájení aktivity
"Provoz DS"</t>
  </si>
  <si>
    <t>Informativní přehled pro jednotlivá sledovaná období: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</si>
</sst>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44" formatCode="_-* #,##0.00\ &quot;Kč&quot;_-;\-* #,##0.00\ &quot;Kč&quot;_-;_-* &quot;-&quot;??\ &quot;Kč&quot;_-;_-@_-"/>
    <numFmt numFmtId="164" formatCode="0.000%"/>
    <numFmt numFmtId="165" formatCode="_-* #,##0.00\ &quot;Kč&quot;_-;\-* #,##0.00\ &quot;Kč&quot;_-;_-* &quot;-&quot;???\ &quot;Kč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u/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5"/>
      <name val="Arial"/>
      <family val="2"/>
      <charset val="238"/>
    </font>
    <font>
      <b/>
      <sz val="14"/>
      <name val="Arial"/>
      <family val="2"/>
      <charset val="238"/>
    </font>
    <font>
      <b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rgb="FFFF0000"/>
      <name val="Arial"/>
      <family val="2"/>
      <charset val="238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borderId="0" fillId="0" fontId="0" numFmtId="0"/>
    <xf applyAlignment="0" applyBorder="0" applyFill="0" applyFont="0" applyProtection="0" borderId="0" fillId="0" fontId="1" numFmtId="43"/>
    <xf applyAlignment="0" applyBorder="0" applyFill="0" applyFont="0" applyProtection="0" borderId="0" fillId="0" fontId="1" numFmtId="44"/>
    <xf applyAlignment="0" applyBorder="0" applyFill="0" applyFont="0" applyProtection="0" borderId="0" fillId="0" fontId="1" numFmtId="9"/>
  </cellStyleXfs>
  <cellXfs count="212">
    <xf borderId="0" fillId="0" fontId="0" numFmtId="0" xfId="0"/>
    <xf applyAlignment="1" applyBorder="1" applyFont="1" borderId="1" fillId="0" fontId="5" numFmtId="0" xfId="0">
      <alignment horizontal="center" vertical="center"/>
    </xf>
    <xf applyFont="1" borderId="0" fillId="0" fontId="5" numFmtId="0" xfId="0"/>
    <xf applyBorder="1" applyFont="1" borderId="1" fillId="0" fontId="5" numFmtId="0" xfId="0"/>
    <xf applyBorder="1" applyFill="1" applyFont="1" borderId="1" fillId="0" fontId="5" numFmtId="0" xfId="0"/>
    <xf applyBorder="1" applyFont="1" applyNumberFormat="1" borderId="1" fillId="0" fontId="5" numFmtId="164" xfId="0"/>
    <xf applyAlignment="1" applyBorder="1" applyFill="1" applyFont="1" applyProtection="1" borderId="7" fillId="4" fontId="7" numFmtId="0" xfId="0">
      <alignment horizontal="center" vertical="center"/>
      <protection hidden="1"/>
    </xf>
    <xf applyAlignment="1" applyBorder="1" applyFill="1" applyFont="1" applyProtection="1" borderId="1" fillId="4" fontId="7" numFmtId="0" xfId="0">
      <alignment horizontal="center"/>
      <protection hidden="1"/>
    </xf>
    <xf applyAlignment="1" applyBorder="1" applyFill="1" applyFont="1" applyProtection="1" borderId="8" fillId="4" fontId="7" numFmtId="0" xfId="0">
      <alignment horizontal="center"/>
      <protection hidden="1"/>
    </xf>
    <xf applyAlignment="1" applyBorder="1" applyFill="1" applyFont="1" applyProtection="1" borderId="7" fillId="4" fontId="5" numFmtId="0" xfId="0">
      <alignment horizontal="center" vertical="center"/>
      <protection hidden="1"/>
    </xf>
    <xf applyAlignment="1" applyBorder="1" applyFill="1" applyFont="1" applyProtection="1" borderId="35" fillId="4" fontId="5" numFmtId="0" xfId="0">
      <alignment horizontal="center" vertical="center"/>
      <protection hidden="1"/>
    </xf>
    <xf applyAlignment="1" applyBorder="1" applyFill="1" applyFont="1" applyProtection="1" borderId="9" fillId="4" fontId="5" numFmtId="0" xfId="0">
      <alignment horizontal="center" vertical="center"/>
      <protection hidden="1"/>
    </xf>
    <xf applyAlignment="1" applyBorder="1" applyFill="1" applyFont="1" applyNumberFormat="1" applyProtection="1" borderId="1" fillId="6" fontId="5" numFmtId="44" xfId="1">
      <alignment horizontal="center" vertical="center"/>
      <protection hidden="1"/>
    </xf>
    <xf applyAlignment="1" applyBorder="1" applyFill="1" applyFont="1" applyNumberFormat="1" applyProtection="1" borderId="8" fillId="6" fontId="5" numFmtId="44" xfId="1">
      <alignment vertical="center"/>
      <protection hidden="1"/>
    </xf>
    <xf applyAlignment="1" applyBorder="1" applyFill="1" applyFont="1" applyNumberFormat="1" applyProtection="1" borderId="36" fillId="6" fontId="5" numFmtId="44" xfId="1">
      <alignment horizontal="center" vertical="center"/>
      <protection hidden="1"/>
    </xf>
    <xf applyAlignment="1" applyBorder="1" applyFill="1" applyFont="1" applyNumberFormat="1" applyProtection="1" borderId="37" fillId="6" fontId="5" numFmtId="44" xfId="1">
      <alignment vertical="center"/>
      <protection hidden="1"/>
    </xf>
    <xf applyFont="1" borderId="0" fillId="0" fontId="5" numFmtId="9" xfId="3"/>
    <xf applyAlignment="1" applyBorder="1" applyFill="1" applyFont="1" applyProtection="1" borderId="3" fillId="4" fontId="7" numFmtId="0" xfId="0">
      <alignment horizontal="center" vertical="center"/>
      <protection hidden="1"/>
    </xf>
    <xf applyAlignment="1" applyBorder="1" applyFill="1" applyFont="1" applyProtection="1" borderId="62" fillId="4" fontId="5" numFmtId="0" xfId="0">
      <alignment horizontal="center" vertical="center"/>
      <protection hidden="1"/>
    </xf>
    <xf applyAlignment="1" applyBorder="1" applyFill="1" applyFont="1" applyProtection="1" borderId="63" fillId="4" fontId="5" numFmtId="0" xfId="0">
      <alignment horizontal="center" vertical="center"/>
      <protection hidden="1"/>
    </xf>
    <xf applyAlignment="1" applyBorder="1" applyFill="1" applyFont="1" applyNumberFormat="1" applyProtection="1" borderId="3" fillId="4" fontId="5" numFmtId="14" xfId="0">
      <alignment horizontal="center" vertical="center"/>
      <protection hidden="1"/>
    </xf>
    <xf applyFont="1" applyProtection="1" borderId="0" fillId="0" fontId="5" numFmtId="0" xfId="0">
      <protection hidden="1"/>
    </xf>
    <xf applyAlignment="1" applyBorder="1" applyFill="1" applyFont="1" applyProtection="1" borderId="12" fillId="5" fontId="7" numFmtId="0" xfId="0">
      <alignment horizontal="center" vertical="center"/>
      <protection hidden="1"/>
    </xf>
    <xf applyAlignment="1" applyBorder="1" applyFill="1" applyFont="1" applyProtection="1" borderId="13" fillId="5" fontId="5" numFmtId="0" xfId="0">
      <alignment horizontal="center" vertical="center"/>
      <protection hidden="1"/>
    </xf>
    <xf applyAlignment="1" applyBorder="1" applyFill="1" applyFont="1" applyProtection="1" borderId="5" fillId="5" fontId="5" numFmtId="0" xfId="0">
      <alignment horizontal="center" vertical="center"/>
      <protection hidden="1"/>
    </xf>
    <xf applyAlignment="1" applyBorder="1" applyFill="1" applyFont="1" applyProtection="1" borderId="6" fillId="5" fontId="5" numFmtId="0" xfId="0">
      <alignment horizontal="center" vertical="center"/>
      <protection hidden="1"/>
    </xf>
    <xf applyAlignment="1" applyBorder="1" applyFill="1" applyFont="1" applyProtection="1" borderId="1" fillId="4" fontId="9" numFmtId="0" xfId="0">
      <alignment horizontal="center" vertical="center"/>
      <protection hidden="1"/>
    </xf>
    <xf applyAlignment="1" applyBorder="1" applyFill="1" applyFont="1" applyProtection="1" borderId="1" fillId="3" fontId="17" numFmtId="0" xfId="0">
      <alignment horizontal="center" vertical="top" wrapText="1"/>
      <protection hidden="1" locked="0"/>
    </xf>
    <xf applyAlignment="1" applyBorder="1" applyFill="1" applyFont="1" applyProtection="1" borderId="8" fillId="4" fontId="8" numFmtId="0" xfId="0">
      <alignment horizontal="center" vertical="center"/>
      <protection hidden="1"/>
    </xf>
    <xf applyAlignment="1" applyBorder="1" applyFill="1" applyFont="1" applyProtection="1" borderId="7" fillId="4" fontId="9" numFmtId="0" xfId="0">
      <alignment horizontal="center" vertical="center" wrapText="1"/>
      <protection hidden="1"/>
    </xf>
    <xf applyAlignment="1" applyBorder="1" applyFill="1" applyFont="1" applyNumberFormat="1" applyProtection="1" borderId="1" fillId="3" fontId="7" numFmtId="14" xfId="0">
      <alignment horizontal="center" vertical="center"/>
      <protection hidden="1" locked="0"/>
    </xf>
    <xf applyAlignment="1" applyBorder="1" applyFill="1" applyFont="1" applyProtection="1" borderId="8" fillId="4" fontId="8" numFmtId="0" xfId="0">
      <alignment horizontal="center" vertical="center" wrapText="1"/>
      <protection hidden="1"/>
    </xf>
    <xf applyBorder="1" applyFill="1" applyFont="1" applyProtection="1" borderId="7" fillId="4" fontId="5" numFmtId="0" xfId="0">
      <protection hidden="1"/>
    </xf>
    <xf applyAlignment="1" applyBorder="1" applyFill="1" applyFont="1" applyProtection="1" borderId="1" fillId="3" fontId="7" numFmtId="0" xfId="0">
      <alignment horizontal="center" vertical="center"/>
      <protection hidden="1" locked="0"/>
    </xf>
    <xf applyAlignment="1" applyBorder="1" applyFill="1" applyFont="1" applyProtection="1" borderId="1" fillId="4" fontId="9" numFmtId="0" xfId="0">
      <alignment horizontal="center" vertical="center" wrapText="1"/>
      <protection hidden="1"/>
    </xf>
    <xf applyAlignment="1" applyBorder="1" applyFill="1" applyFont="1" applyNumberFormat="1" applyProtection="1" borderId="1" fillId="2" fontId="7" numFmtId="14" xfId="0">
      <alignment horizontal="center" vertical="center"/>
      <protection hidden="1"/>
    </xf>
    <xf applyAlignment="1" applyBorder="1" applyFill="1" applyFont="1" applyNumberFormat="1" applyProtection="1" borderId="1" fillId="2" fontId="7" numFmtId="0" xfId="0">
      <alignment horizontal="center" vertical="center"/>
      <protection hidden="1"/>
    </xf>
    <xf applyAlignment="1" applyBorder="1" applyFill="1" applyFont="1" applyProtection="1" borderId="1" fillId="3" fontId="7" numFmtId="0" xfId="0">
      <alignment horizontal="center" vertical="center" wrapText="1"/>
      <protection hidden="1" locked="0"/>
    </xf>
    <xf applyAlignment="1" applyBorder="1" applyFill="1" applyFont="1" applyProtection="1" borderId="47" fillId="4" fontId="9" numFmtId="0" xfId="0">
      <alignment horizontal="center" vertical="center" wrapText="1"/>
      <protection hidden="1"/>
    </xf>
    <xf applyAlignment="1" applyBorder="1" applyFill="1" applyFont="1" applyProtection="1" borderId="47" fillId="3" fontId="7" numFmtId="0" xfId="0">
      <alignment horizontal="center" vertical="center"/>
      <protection hidden="1" locked="0"/>
    </xf>
    <xf applyAlignment="1" applyBorder="1" applyFill="1" applyFont="1" applyProtection="1" borderId="48" fillId="4" fontId="8" numFmtId="0" xfId="0">
      <alignment horizontal="center" vertical="center" wrapText="1"/>
      <protection hidden="1"/>
    </xf>
    <xf applyAlignment="1" applyBorder="1" applyFill="1" applyFont="1" applyProtection="1" borderId="14" fillId="4" fontId="9" numFmtId="0" xfId="0">
      <alignment horizontal="center" vertical="center" wrapText="1"/>
      <protection hidden="1"/>
    </xf>
    <xf applyAlignment="1" applyBorder="1" applyFill="1" applyFont="1" applyProtection="1" borderId="47" fillId="2" fontId="7" numFmtId="0" xfId="0">
      <alignment horizontal="center" vertical="center"/>
      <protection hidden="1"/>
    </xf>
    <xf applyAlignment="1" applyBorder="1" applyFill="1" applyFont="1" applyProtection="1" borderId="9" fillId="4" fontId="5" numFmtId="0" xfId="0">
      <alignment horizontal="center"/>
      <protection hidden="1"/>
    </xf>
    <xf applyAlignment="1" applyBorder="1" applyFill="1" applyFont="1" applyProtection="1" borderId="16" fillId="4" fontId="9" numFmtId="0" xfId="0">
      <alignment horizontal="center" vertical="center" wrapText="1"/>
      <protection hidden="1"/>
    </xf>
    <xf applyAlignment="1" applyBorder="1" applyFill="1" applyFont="1" applyProtection="1" borderId="16" fillId="3" fontId="7" numFmtId="0" xfId="0">
      <alignment horizontal="center" vertical="center" wrapText="1"/>
      <protection hidden="1" locked="0"/>
    </xf>
    <xf applyAlignment="1" applyBorder="1" applyFill="1" applyFont="1" applyProtection="1" borderId="10" fillId="4" fontId="8" numFmtId="0" xfId="0">
      <alignment horizontal="center" vertical="center" wrapText="1"/>
      <protection hidden="1"/>
    </xf>
    <xf applyAlignment="1" applyBorder="1" applyFill="1" applyFont="1" applyProtection="1" borderId="9" fillId="4" fontId="9" numFmtId="0" xfId="0">
      <alignment horizontal="center" vertical="center" wrapText="1"/>
      <protection hidden="1"/>
    </xf>
    <xf applyAlignment="1" applyBorder="1" applyFill="1" applyFont="1" applyProtection="1" borderId="16" fillId="3" fontId="7" numFmtId="9" xfId="3">
      <alignment horizontal="center" vertical="center"/>
      <protection hidden="1" locked="0"/>
    </xf>
    <xf applyAlignment="1" applyBorder="1" applyFill="1" applyFont="1" applyProtection="1" borderId="0" fillId="0" fontId="11" numFmtId="0" xfId="0">
      <alignment vertical="center"/>
      <protection hidden="1"/>
    </xf>
    <xf applyAlignment="1" applyBorder="1" applyFill="1" applyFont="1" applyProtection="1" borderId="45" fillId="5" fontId="16" numFmtId="0" xfId="0">
      <alignment horizontal="center" vertical="center"/>
      <protection hidden="1"/>
    </xf>
    <xf applyAlignment="1" applyBorder="1" applyFill="1" applyFont="1" applyProtection="1" borderId="46" fillId="5" fontId="16" numFmtId="0" xfId="0">
      <alignment horizontal="center" vertical="center"/>
      <protection hidden="1"/>
    </xf>
    <xf applyAlignment="1" applyBorder="1" applyFill="1" applyFont="1" applyNumberFormat="1" applyProtection="1" borderId="42" fillId="6" fontId="12" numFmtId="3" xfId="0">
      <alignment horizontal="center" vertical="center"/>
      <protection hidden="1"/>
    </xf>
    <xf applyAlignment="1" applyBorder="1" applyFill="1" applyFont="1" applyProtection="1" borderId="42" fillId="6" fontId="13" numFmtId="44" xfId="2">
      <alignment horizontal="center" vertical="center"/>
      <protection hidden="1"/>
    </xf>
    <xf applyAlignment="1" applyBorder="1" applyFill="1" applyFont="1" applyProtection="1" borderId="43" fillId="6" fontId="12" numFmtId="44" xfId="2">
      <alignment vertical="center"/>
      <protection hidden="1"/>
    </xf>
    <xf applyAlignment="1" applyBorder="1" applyFill="1" applyFont="1" applyNumberFormat="1" applyProtection="1" borderId="42" fillId="4" fontId="12" numFmtId="3" xfId="0">
      <alignment horizontal="center" vertical="center"/>
      <protection hidden="1"/>
    </xf>
    <xf applyAlignment="1" applyBorder="1" applyFill="1" applyFont="1" applyProtection="1" borderId="42" fillId="4" fontId="13" numFmtId="44" xfId="2">
      <alignment vertical="center"/>
      <protection hidden="1"/>
    </xf>
    <xf applyAlignment="1" applyBorder="1" applyFill="1" applyFont="1" applyProtection="1" borderId="43" fillId="4" fontId="12" numFmtId="44" xfId="2">
      <alignment vertical="center"/>
      <protection hidden="1"/>
    </xf>
    <xf applyAlignment="1" applyBorder="1" applyFill="1" applyFont="1" applyNumberFormat="1" applyProtection="1" borderId="1" fillId="4" fontId="12" numFmtId="3" xfId="0">
      <alignment horizontal="center" vertical="center"/>
      <protection hidden="1"/>
    </xf>
    <xf applyAlignment="1" applyBorder="1" applyFill="1" applyFont="1" applyProtection="1" borderId="1" fillId="4" fontId="13" numFmtId="44" xfId="2">
      <alignment vertical="center"/>
      <protection hidden="1"/>
    </xf>
    <xf applyAlignment="1" applyBorder="1" applyFill="1" applyFont="1" applyNumberFormat="1" applyProtection="1" borderId="47" fillId="6" fontId="12" numFmtId="3" xfId="0">
      <alignment horizontal="center" vertical="center"/>
      <protection hidden="1"/>
    </xf>
    <xf applyAlignment="1" applyBorder="1" applyFill="1" applyFont="1" applyProtection="1" borderId="47" fillId="6" fontId="13" numFmtId="0" xfId="0">
      <alignment horizontal="center" vertical="center"/>
      <protection hidden="1"/>
    </xf>
    <xf applyAlignment="1" applyBorder="1" applyFill="1" applyFont="1" applyProtection="1" borderId="48" fillId="6" fontId="12" numFmtId="44" xfId="2">
      <alignment vertical="center"/>
      <protection hidden="1"/>
    </xf>
    <xf applyAlignment="1" applyBorder="1" applyFill="1" applyFont="1" applyProtection="1" borderId="46" fillId="4" fontId="11" numFmtId="44" xfId="2">
      <alignment horizontal="center" vertical="center"/>
      <protection hidden="1"/>
    </xf>
    <xf applyAlignment="1" applyBorder="1" applyFill="1" applyFont="1" applyProtection="1" borderId="20" fillId="0" fontId="11" numFmtId="0" xfId="0">
      <alignment vertical="center"/>
      <protection hidden="1"/>
    </xf>
    <xf applyAlignment="1" applyBorder="1" applyFill="1" applyFont="1" applyProtection="1" borderId="21" fillId="5" fontId="14" numFmtId="0" xfId="0">
      <alignment horizontal="center" vertical="center"/>
      <protection hidden="1"/>
    </xf>
    <xf applyAlignment="1" applyBorder="1" applyFill="1" applyFont="1" applyProtection="1" borderId="4" fillId="5" fontId="14" numFmtId="0" xfId="0">
      <alignment horizontal="center" vertical="center"/>
      <protection hidden="1"/>
    </xf>
    <xf applyBorder="1" applyFill="1" applyFont="1" applyNumberFormat="1" applyProtection="1" borderId="4" fillId="6" fontId="14" numFmtId="44" xfId="0">
      <protection hidden="1"/>
    </xf>
    <xf applyAlignment="1" applyBorder="1" applyFill="1" applyFont="1" applyProtection="1" borderId="25" fillId="4" fontId="14" numFmtId="0" xfId="0">
      <alignment horizontal="center" vertical="center" wrapText="1"/>
      <protection hidden="1"/>
    </xf>
    <xf applyAlignment="1" applyBorder="1" applyFill="1" applyFont="1" applyProtection="1" borderId="28" fillId="4" fontId="18" numFmtId="0" xfId="0">
      <alignment horizontal="center" vertical="center"/>
      <protection hidden="1"/>
    </xf>
    <xf applyAlignment="1" applyBorder="1" applyFill="1" applyFont="1" applyProtection="1" borderId="39" fillId="4" fontId="18" numFmtId="0" xfId="0">
      <alignment horizontal="center" vertical="center"/>
      <protection hidden="1"/>
    </xf>
    <xf applyAlignment="1" applyBorder="1" applyFill="1" applyFont="1" applyProtection="1" borderId="39" fillId="4" fontId="18" numFmtId="44" xfId="2">
      <alignment horizontal="center" vertical="center"/>
      <protection hidden="1"/>
    </xf>
    <xf applyAlignment="1" applyBorder="1" applyFill="1" applyFont="1" applyProtection="1" borderId="28" fillId="4" fontId="18" numFmtId="44" xfId="2">
      <alignment vertical="center"/>
      <protection hidden="1"/>
    </xf>
    <xf applyAlignment="1" applyBorder="1" applyFill="1" applyFont="1" applyNumberFormat="1" applyProtection="1" borderId="51" fillId="4" fontId="14" numFmtId="14" xfId="0">
      <alignment horizontal="center" vertical="center" wrapText="1"/>
      <protection hidden="1"/>
    </xf>
    <xf applyAlignment="1" applyBorder="1" applyFill="1" applyFont="1" applyProtection="1" borderId="29" fillId="4" fontId="18" numFmtId="0" xfId="0">
      <alignment horizontal="center" vertical="center"/>
      <protection hidden="1"/>
    </xf>
    <xf applyAlignment="1" applyBorder="1" applyFill="1" applyFont="1" applyProtection="1" borderId="50" fillId="4" fontId="18" numFmtId="0" xfId="0">
      <alignment horizontal="center" vertical="center"/>
      <protection hidden="1"/>
    </xf>
    <xf applyAlignment="1" applyBorder="1" applyFill="1" applyFont="1" applyProtection="1" borderId="50" fillId="4" fontId="18" numFmtId="44" xfId="2">
      <alignment horizontal="center" vertical="center"/>
      <protection hidden="1"/>
    </xf>
    <xf applyAlignment="1" applyBorder="1" applyFill="1" applyFont="1" applyProtection="1" borderId="29" fillId="4" fontId="18" numFmtId="44" xfId="2">
      <alignment vertical="center"/>
      <protection hidden="1"/>
    </xf>
    <xf applyAlignment="1" applyBorder="1" applyFill="1" applyFont="1" applyProtection="1" borderId="55" fillId="4" fontId="18" numFmtId="44" xfId="2">
      <alignment horizontal="center" vertical="center"/>
      <protection hidden="1"/>
    </xf>
    <xf applyAlignment="1" applyBorder="1" applyFill="1" applyFont="1" applyProtection="1" borderId="40" fillId="4" fontId="18" numFmtId="44" xfId="2">
      <alignment horizontal="center" vertical="center"/>
      <protection hidden="1"/>
    </xf>
    <xf applyAlignment="1" applyBorder="1" applyFill="1" applyFont="1" applyProtection="1" borderId="30" fillId="4" fontId="18" numFmtId="44" xfId="2">
      <alignment vertical="center"/>
      <protection hidden="1"/>
    </xf>
    <xf applyAlignment="1" applyBorder="1" applyFill="1" applyFont="1" applyProtection="1" borderId="5" fillId="4" fontId="14" numFmtId="0" xfId="0">
      <alignment horizontal="center" vertical="center" wrapText="1"/>
      <protection hidden="1"/>
    </xf>
    <xf applyAlignment="1" applyBorder="1" applyFill="1" applyFont="1" applyProtection="1" borderId="28" fillId="4" fontId="19" numFmtId="0" xfId="0">
      <alignment horizontal="center" vertical="center"/>
      <protection hidden="1"/>
    </xf>
    <xf applyAlignment="1" applyBorder="1" applyFill="1" applyFont="1" applyNumberFormat="1" applyProtection="1" borderId="28" fillId="4" fontId="18" numFmtId="3" xfId="0">
      <alignment horizontal="center" vertical="center"/>
      <protection hidden="1"/>
    </xf>
    <xf applyAlignment="1" applyBorder="1" applyFill="1" applyFont="1" applyProtection="1" borderId="28" fillId="4" fontId="18" numFmtId="44" xfId="2">
      <alignment horizontal="center" vertical="center"/>
      <protection hidden="1"/>
    </xf>
    <xf applyAlignment="1" applyBorder="1" applyFill="1" applyFont="1" applyProtection="1" borderId="31" fillId="4" fontId="18" numFmtId="44" xfId="2">
      <alignment horizontal="center" vertical="center"/>
      <protection hidden="1"/>
    </xf>
    <xf applyAlignment="1" applyBorder="1" applyFill="1" applyFont="1" applyNumberFormat="1" applyProtection="1" borderId="18" fillId="4" fontId="14" numFmtId="14" xfId="0">
      <alignment horizontal="center" vertical="center" wrapText="1"/>
      <protection hidden="1"/>
    </xf>
    <xf applyAlignment="1" applyBorder="1" applyFill="1" applyFont="1" applyProtection="1" borderId="29" fillId="4" fontId="19" numFmtId="0" xfId="0">
      <alignment horizontal="center" vertical="center"/>
      <protection hidden="1"/>
    </xf>
    <xf applyAlignment="1" applyBorder="1" applyFill="1" applyFont="1" applyNumberFormat="1" applyProtection="1" borderId="29" fillId="4" fontId="18" numFmtId="3" xfId="0">
      <alignment horizontal="center" vertical="center"/>
      <protection hidden="1"/>
    </xf>
    <xf applyAlignment="1" applyBorder="1" applyFill="1" applyFont="1" applyProtection="1" borderId="29" fillId="4" fontId="18" numFmtId="44" xfId="2">
      <alignment horizontal="center" vertical="center"/>
      <protection hidden="1"/>
    </xf>
    <xf applyAlignment="1" applyBorder="1" applyFill="1" applyFont="1" applyProtection="1" borderId="32" fillId="4" fontId="18" numFmtId="44" xfId="2">
      <alignment horizontal="center" vertical="center"/>
      <protection hidden="1"/>
    </xf>
    <xf applyAlignment="1" applyBorder="1" applyFill="1" applyFont="1" applyProtection="1" borderId="18" fillId="4" fontId="14" numFmtId="0" xfId="0">
      <alignment horizontal="center" vertical="center" wrapText="1"/>
      <protection hidden="1"/>
    </xf>
    <xf applyAlignment="1" applyBorder="1" applyFill="1" applyFont="1" applyNumberFormat="1" applyProtection="1" borderId="19" fillId="4" fontId="14" numFmtId="14" xfId="0">
      <alignment horizontal="center" vertical="center" wrapText="1"/>
      <protection hidden="1"/>
    </xf>
    <xf applyAlignment="1" applyBorder="1" applyFill="1" applyFont="1" applyProtection="1" borderId="30" fillId="4" fontId="19" numFmtId="0" xfId="0">
      <alignment horizontal="center" vertical="center"/>
      <protection hidden="1"/>
    </xf>
    <xf applyAlignment="1" applyBorder="1" applyFill="1" applyFont="1" applyNumberFormat="1" applyProtection="1" borderId="30" fillId="4" fontId="18" numFmtId="3" xfId="0">
      <alignment horizontal="center" vertical="center"/>
      <protection hidden="1"/>
    </xf>
    <xf applyAlignment="1" applyBorder="1" applyFill="1" applyFont="1" applyProtection="1" borderId="30" fillId="4" fontId="18" numFmtId="44" xfId="2">
      <alignment horizontal="center" vertical="center"/>
      <protection hidden="1"/>
    </xf>
    <xf applyAlignment="1" applyBorder="1" applyFill="1" applyFont="1" applyProtection="1" borderId="33" fillId="4" fontId="18" numFmtId="44" xfId="2">
      <alignment horizontal="center" vertical="center"/>
      <protection hidden="1"/>
    </xf>
    <xf applyAlignment="1" applyBorder="1" applyFill="1" applyFont="1" applyNumberFormat="1" applyProtection="1" borderId="24" fillId="6" fontId="14" numFmtId="44" xfId="0">
      <alignment horizontal="center" vertical="center"/>
      <protection hidden="1"/>
    </xf>
    <xf applyBorder="1" applyFill="1" applyFont="1" applyNumberFormat="1" applyProtection="1" borderId="4" fillId="5" fontId="14" numFmtId="44" xfId="0">
      <protection hidden="1"/>
    </xf>
    <xf applyAlignment="1" applyBorder="1" applyFill="1" applyFont="1" applyProtection="1" borderId="0" fillId="3" fontId="11" numFmtId="0" xfId="0">
      <alignment horizontal="center"/>
      <protection hidden="1"/>
    </xf>
    <xf applyBorder="1" applyFill="1" applyFont="1" applyNumberFormat="1" applyProtection="1" borderId="0" fillId="3" fontId="11" numFmtId="44" xfId="0">
      <protection hidden="1"/>
    </xf>
    <xf applyBorder="1" applyFill="1" applyFont="1" applyNumberFormat="1" applyProtection="1" borderId="57" fillId="6" fontId="12" numFmtId="164" xfId="3">
      <protection hidden="1"/>
    </xf>
    <xf applyBorder="1" applyFill="1" applyFont="1" applyNumberFormat="1" applyProtection="1" borderId="58" fillId="6" fontId="12" numFmtId="165" xfId="0">
      <protection hidden="1"/>
    </xf>
    <xf applyBorder="1" applyFill="1" applyFont="1" applyNumberFormat="1" applyProtection="1" borderId="42" fillId="4" fontId="13" numFmtId="164" xfId="3">
      <protection hidden="1"/>
    </xf>
    <xf applyBorder="1" applyFill="1" applyFont="1" applyNumberFormat="1" applyProtection="1" borderId="43" fillId="4" fontId="13" numFmtId="165" xfId="0">
      <protection hidden="1"/>
    </xf>
    <xf applyBorder="1" applyFill="1" applyFont="1" applyNumberFormat="1" applyProtection="1" borderId="47" fillId="4" fontId="13" numFmtId="164" xfId="3">
      <protection hidden="1"/>
    </xf>
    <xf applyBorder="1" applyFill="1" applyFont="1" applyNumberFormat="1" applyProtection="1" borderId="56" fillId="4" fontId="13" numFmtId="165" xfId="0">
      <protection hidden="1"/>
    </xf>
    <xf applyBorder="1" applyFill="1" applyFont="1" applyNumberFormat="1" applyProtection="1" borderId="45" fillId="6" fontId="12" numFmtId="164" xfId="0">
      <protection hidden="1"/>
    </xf>
    <xf applyBorder="1" applyFill="1" applyFont="1" applyNumberFormat="1" applyProtection="1" borderId="46" fillId="6" fontId="12" numFmtId="165" xfId="0">
      <protection hidden="1"/>
    </xf>
    <xf applyBorder="1" applyFill="1" applyFont="1" applyNumberFormat="1" applyProtection="1" borderId="45" fillId="5" fontId="12" numFmtId="164" xfId="0">
      <protection hidden="1"/>
    </xf>
    <xf applyBorder="1" applyFill="1" applyFont="1" applyNumberFormat="1" applyProtection="1" borderId="46" fillId="5" fontId="12" numFmtId="165" xfId="0">
      <protection hidden="1"/>
    </xf>
    <xf applyAlignment="1" applyFont="1" applyProtection="1" borderId="0" fillId="0" fontId="22" numFmtId="0" xfId="0">
      <alignment vertical="center" wrapText="1"/>
      <protection hidden="1"/>
    </xf>
    <xf applyAlignment="1" applyFont="1" borderId="0" fillId="0" fontId="5" numFmtId="0" xfId="0">
      <alignment wrapText="1"/>
    </xf>
    <xf applyNumberFormat="1" borderId="0" fillId="0" fontId="0" numFmtId="44" xfId="0"/>
    <xf applyBorder="1" applyFont="1" borderId="0" fillId="0" fontId="5" numFmtId="0" xfId="0"/>
    <xf applyBorder="1" applyFont="1" applyNumberFormat="1" borderId="3" fillId="0" fontId="5" numFmtId="14" xfId="0"/>
    <xf applyBorder="1" applyFont="1" borderId="2" fillId="0" fontId="5" numFmtId="0" xfId="0"/>
    <xf applyAlignment="1" applyBorder="1" applyFont="1" borderId="64" fillId="0" fontId="5" numFmtId="0" xfId="0">
      <alignment horizontal="center"/>
    </xf>
    <xf applyBorder="1" applyFont="1" applyNumberFormat="1" borderId="59" fillId="0" fontId="5" numFmtId="14" xfId="0"/>
    <xf applyBorder="1" applyFont="1" borderId="54" fillId="0" fontId="5" numFmtId="0" xfId="0"/>
    <xf applyBorder="1" applyFill="1" applyFont="1" applyNumberFormat="1" borderId="1" fillId="7" fontId="5" numFmtId="14" xfId="0"/>
    <xf applyBorder="1" applyFill="1" applyFont="1" borderId="1" fillId="7" fontId="5" numFmtId="0" xfId="0"/>
    <xf applyAlignment="1" applyBorder="1" applyFill="1" applyFont="1" borderId="1" fillId="7" fontId="5" numFmtId="0" xfId="0">
      <alignment horizontal="center" vertical="center"/>
    </xf>
    <xf applyBorder="1" applyFill="1" applyFont="1" borderId="1" fillId="7" fontId="18" numFmtId="0" xfId="0"/>
    <xf applyAlignment="1" applyBorder="1" applyFont="1" borderId="1" fillId="0" fontId="23" numFmtId="0" xfId="0">
      <alignment wrapText="1"/>
    </xf>
    <xf applyBorder="1" applyFill="1" applyFont="1" applyNumberFormat="1" borderId="1" fillId="7" fontId="5" numFmtId="164" xfId="0"/>
    <xf applyBorder="1" applyFill="1" applyFont="1" borderId="1" fillId="7" fontId="5" numFmtId="9" xfId="3"/>
    <xf applyBorder="1" applyFont="1" applyNumberFormat="1" borderId="1" fillId="0" fontId="5" numFmtId="14" xfId="0"/>
    <xf applyAlignment="1" applyBorder="1" applyFont="1" applyProtection="1" borderId="18" fillId="0" fontId="22" numFmtId="0" xfId="0">
      <alignment horizontal="center" vertical="center" wrapText="1"/>
      <protection hidden="1"/>
    </xf>
    <xf applyAlignment="1" applyFont="1" applyProtection="1" borderId="0" fillId="0" fontId="22" numFmtId="0" xfId="0">
      <alignment horizontal="center" vertical="center" wrapText="1"/>
      <protection hidden="1"/>
    </xf>
    <xf applyAlignment="1" applyBorder="1" applyFill="1" applyFont="1" applyProtection="1" borderId="21" fillId="6" fontId="14" numFmtId="0" xfId="0">
      <alignment horizontal="left"/>
      <protection hidden="1"/>
    </xf>
    <xf applyAlignment="1" applyBorder="1" applyFill="1" applyFont="1" applyProtection="1" borderId="22" fillId="6" fontId="14" numFmtId="0" xfId="0">
      <alignment horizontal="left"/>
      <protection hidden="1"/>
    </xf>
    <xf applyAlignment="1" applyBorder="1" applyFill="1" applyFont="1" applyProtection="1" borderId="23" fillId="6" fontId="14" numFmtId="0" xfId="0">
      <alignment horizontal="left"/>
      <protection hidden="1"/>
    </xf>
    <xf applyAlignment="1" applyBorder="1" applyFill="1" applyFont="1" applyProtection="1" borderId="9" fillId="4" fontId="18" numFmtId="0" xfId="0">
      <alignment horizontal="left"/>
      <protection hidden="1"/>
    </xf>
    <xf applyAlignment="1" applyBorder="1" applyFill="1" applyFont="1" applyProtection="1" borderId="16" fillId="4" fontId="18" numFmtId="0" xfId="0">
      <alignment horizontal="left"/>
      <protection hidden="1"/>
    </xf>
    <xf applyAlignment="1" applyBorder="1" applyFill="1" applyFont="1" applyProtection="1" borderId="10" fillId="4" fontId="18" numFmtId="0" xfId="0">
      <alignment horizontal="left"/>
      <protection hidden="1"/>
    </xf>
    <xf applyAlignment="1" applyBorder="1" applyFill="1" applyFont="1" applyProtection="1" borderId="14" fillId="4" fontId="18" numFmtId="0" xfId="0">
      <alignment horizontal="left"/>
      <protection hidden="1"/>
    </xf>
    <xf applyAlignment="1" applyBorder="1" applyFill="1" applyFont="1" applyProtection="1" borderId="47" fillId="4" fontId="18" numFmtId="0" xfId="0">
      <alignment horizontal="left"/>
      <protection hidden="1"/>
    </xf>
    <xf applyAlignment="1" applyBorder="1" applyFill="1" applyFont="1" applyProtection="1" borderId="54" fillId="4" fontId="18" numFmtId="0" xfId="0">
      <alignment horizontal="left"/>
      <protection hidden="1"/>
    </xf>
    <xf applyAlignment="1" applyBorder="1" applyFill="1" applyFont="1" applyProtection="1" borderId="15" fillId="4" fontId="18" numFmtId="0" xfId="0">
      <alignment horizontal="left"/>
      <protection hidden="1"/>
    </xf>
    <xf applyAlignment="1" applyBorder="1" applyFill="1" applyFont="1" applyProtection="1" borderId="42" fillId="4" fontId="18" numFmtId="0" xfId="0">
      <alignment horizontal="left"/>
      <protection hidden="1"/>
    </xf>
    <xf applyAlignment="1" applyBorder="1" applyFill="1" applyFont="1" applyProtection="1" borderId="53" fillId="4" fontId="18" numFmtId="0" xfId="0">
      <alignment horizontal="left"/>
      <protection hidden="1"/>
    </xf>
    <xf applyAlignment="1" applyBorder="1" applyFill="1" applyFont="1" applyProtection="1" borderId="0" fillId="0" fontId="10" numFmtId="0" xfId="0">
      <alignment horizontal="left" vertical="center"/>
      <protection hidden="1"/>
    </xf>
    <xf applyAlignment="1" applyBorder="1" applyFill="1" applyFont="1" applyProtection="1" borderId="47" fillId="6" fontId="13" numFmtId="0" xfId="0">
      <alignment horizontal="center" vertical="center"/>
      <protection hidden="1"/>
    </xf>
    <xf applyAlignment="1" applyBorder="1" applyFill="1" applyFont="1" applyProtection="1" borderId="44" fillId="4" fontId="11" numFmtId="0" xfId="0">
      <alignment horizontal="center" vertical="center"/>
      <protection hidden="1"/>
    </xf>
    <xf applyAlignment="1" applyBorder="1" applyFill="1" applyFont="1" applyProtection="1" borderId="45" fillId="4" fontId="11" numFmtId="0" xfId="0">
      <alignment horizontal="center" vertical="center"/>
      <protection hidden="1"/>
    </xf>
    <xf applyAlignment="1" applyBorder="1" applyFill="1" applyFont="1" applyProtection="1" borderId="7" fillId="4" fontId="18" numFmtId="0" xfId="0">
      <alignment horizontal="left"/>
      <protection hidden="1"/>
    </xf>
    <xf applyAlignment="1" applyBorder="1" applyFill="1" applyFont="1" applyProtection="1" borderId="1" fillId="4" fontId="18" numFmtId="0" xfId="0">
      <alignment horizontal="left"/>
      <protection hidden="1"/>
    </xf>
    <xf applyAlignment="1" applyBorder="1" applyFill="1" applyFont="1" applyProtection="1" borderId="2" fillId="4" fontId="18" numFmtId="0" xfId="0">
      <alignment horizontal="left"/>
      <protection hidden="1"/>
    </xf>
    <xf applyAlignment="1" applyBorder="1" applyFill="1" applyFont="1" applyProtection="1" borderId="8" fillId="4" fontId="18" numFmtId="0" xfId="0">
      <alignment horizontal="left"/>
      <protection hidden="1"/>
    </xf>
    <xf applyAlignment="1" applyBorder="1" applyFill="1" applyFont="1" applyProtection="1" borderId="14" fillId="6" fontId="12" numFmtId="0" xfId="0">
      <alignment horizontal="left" vertical="center"/>
      <protection hidden="1"/>
    </xf>
    <xf applyAlignment="1" applyBorder="1" applyFill="1" applyFont="1" applyProtection="1" borderId="47" fillId="6" fontId="12" numFmtId="0" xfId="0">
      <alignment horizontal="left" vertical="center"/>
      <protection hidden="1"/>
    </xf>
    <xf applyAlignment="1" applyBorder="1" applyFill="1" applyFont="1" applyProtection="1" borderId="21" fillId="5" fontId="14" numFmtId="0" xfId="0">
      <alignment horizontal="center" vertical="center"/>
      <protection hidden="1"/>
    </xf>
    <xf applyAlignment="1" applyBorder="1" applyFill="1" applyFont="1" applyProtection="1" borderId="22" fillId="5" fontId="14" numFmtId="0" xfId="0">
      <alignment horizontal="center" vertical="center"/>
      <protection hidden="1"/>
    </xf>
    <xf applyAlignment="1" applyBorder="1" applyFill="1" applyFont="1" applyProtection="1" borderId="23" fillId="5" fontId="14" numFmtId="0" xfId="0">
      <alignment horizontal="center" vertical="center"/>
      <protection hidden="1"/>
    </xf>
    <xf applyAlignment="1" applyBorder="1" applyFill="1" applyFont="1" applyProtection="1" borderId="27" fillId="4" fontId="18" numFmtId="0" xfId="0">
      <alignment horizontal="left"/>
      <protection hidden="1"/>
    </xf>
    <xf applyAlignment="1" applyBorder="1" applyFill="1" applyFont="1" applyProtection="1" borderId="12" fillId="4" fontId="18" numFmtId="0" xfId="0">
      <alignment horizontal="left"/>
      <protection hidden="1"/>
    </xf>
    <xf applyAlignment="1" applyBorder="1" applyFill="1" applyFont="1" applyProtection="1" borderId="6" fillId="4" fontId="18" numFmtId="0" xfId="0">
      <alignment horizontal="left"/>
      <protection hidden="1"/>
    </xf>
    <xf applyAlignment="1" applyBorder="1" applyFill="1" applyFont="1" applyProtection="1" borderId="52" fillId="4" fontId="18" numFmtId="0" xfId="0">
      <alignment horizontal="left"/>
      <protection hidden="1"/>
    </xf>
    <xf applyAlignment="1" applyBorder="1" applyFill="1" applyFont="1" applyProtection="1" borderId="5" fillId="4" fontId="15" numFmtId="0" xfId="0">
      <alignment horizontal="center" vertical="center"/>
      <protection hidden="1"/>
    </xf>
    <xf applyAlignment="1" applyBorder="1" applyFill="1" applyFont="1" applyProtection="1" borderId="11" fillId="4" fontId="15" numFmtId="0" xfId="0">
      <alignment horizontal="center" vertical="center"/>
      <protection hidden="1"/>
    </xf>
    <xf applyAlignment="1" applyBorder="1" applyFill="1" applyFont="1" applyProtection="1" borderId="13" fillId="4" fontId="15" numFmtId="0" xfId="0">
      <alignment horizontal="center" vertical="center"/>
      <protection hidden="1"/>
    </xf>
    <xf applyAlignment="1" applyBorder="1" applyFill="1" applyFont="1" applyProtection="1" borderId="19" fillId="4" fontId="15" numFmtId="0" xfId="0">
      <alignment horizontal="center" vertical="center"/>
      <protection hidden="1"/>
    </xf>
    <xf applyAlignment="1" applyBorder="1" applyFill="1" applyFont="1" applyProtection="1" borderId="20" fillId="4" fontId="15" numFmtId="0" xfId="0">
      <alignment horizontal="center" vertical="center"/>
      <protection hidden="1"/>
    </xf>
    <xf applyAlignment="1" applyBorder="1" applyFill="1" applyFont="1" applyProtection="1" borderId="17" fillId="4" fontId="15" numFmtId="0" xfId="0">
      <alignment horizontal="center" vertical="center"/>
      <protection hidden="1"/>
    </xf>
    <xf applyAlignment="1" applyBorder="1" applyFill="1" applyFont="1" applyProtection="1" borderId="39" fillId="5" fontId="5" numFmtId="0" xfId="0">
      <alignment horizontal="center" vertical="center"/>
      <protection hidden="1"/>
    </xf>
    <xf applyAlignment="1" applyBorder="1" applyFill="1" applyFont="1" applyProtection="1" borderId="26" fillId="5" fontId="5" numFmtId="0" xfId="0">
      <alignment horizontal="center" vertical="center"/>
      <protection hidden="1"/>
    </xf>
    <xf applyAlignment="1" applyBorder="1" applyFill="1" applyFont="1" applyProtection="1" borderId="1" fillId="4" fontId="13" numFmtId="0" xfId="0">
      <alignment horizontal="left" vertical="center"/>
      <protection hidden="1"/>
    </xf>
    <xf applyAlignment="1" applyBorder="1" applyFill="1" applyFont="1" applyProtection="1" borderId="15" fillId="6" fontId="12" numFmtId="0" xfId="0">
      <alignment horizontal="left" vertical="center"/>
      <protection hidden="1"/>
    </xf>
    <xf applyAlignment="1" applyBorder="1" applyFill="1" applyFont="1" applyProtection="1" borderId="42" fillId="6" fontId="12" numFmtId="0" xfId="0">
      <alignment horizontal="left" vertical="center"/>
      <protection hidden="1"/>
    </xf>
    <xf applyAlignment="1" applyBorder="1" applyFill="1" applyFont="1" applyProtection="1" borderId="42" fillId="6" fontId="13" numFmtId="0" xfId="0">
      <alignment horizontal="left" vertical="center"/>
      <protection hidden="1"/>
    </xf>
    <xf applyAlignment="1" applyBorder="1" applyFill="1" applyFont="1" applyProtection="1" borderId="14" fillId="4" fontId="5" numFmtId="0" xfId="0">
      <alignment horizontal="center"/>
      <protection hidden="1"/>
    </xf>
    <xf applyAlignment="1" applyBorder="1" applyFill="1" applyFont="1" applyProtection="1" borderId="15" fillId="4" fontId="5" numFmtId="0" xfId="0">
      <alignment horizontal="center"/>
      <protection hidden="1"/>
    </xf>
    <xf applyAlignment="1" applyBorder="1" applyFill="1" applyFont="1" applyProtection="1" borderId="61" fillId="4" fontId="5" numFmtId="0" xfId="0">
      <alignment horizontal="center"/>
      <protection hidden="1"/>
    </xf>
    <xf applyAlignment="1" applyBorder="1" applyFill="1" applyFont="1" applyProtection="1" borderId="44" fillId="5" fontId="16" numFmtId="0" xfId="0">
      <alignment horizontal="left" vertical="center"/>
      <protection hidden="1"/>
    </xf>
    <xf applyAlignment="1" applyBorder="1" applyFill="1" applyFont="1" applyProtection="1" borderId="45" fillId="5" fontId="16" numFmtId="0" xfId="0">
      <alignment horizontal="left" vertical="center"/>
      <protection hidden="1"/>
    </xf>
    <xf applyAlignment="1" applyBorder="1" applyFill="1" applyFont="1" applyProtection="1" borderId="45" fillId="5" fontId="16" numFmtId="0" xfId="0">
      <alignment horizontal="center" vertical="center"/>
      <protection hidden="1"/>
    </xf>
    <xf applyAlignment="1" applyBorder="1" applyFill="1" applyFont="1" applyProtection="1" borderId="15" fillId="4" fontId="12" numFmtId="0" xfId="0">
      <alignment horizontal="left" vertical="center"/>
      <protection hidden="1"/>
    </xf>
    <xf applyAlignment="1" applyBorder="1" applyFill="1" applyFont="1" applyProtection="1" borderId="42" fillId="4" fontId="12" numFmtId="0" xfId="0">
      <alignment horizontal="left" vertical="center"/>
      <protection hidden="1"/>
    </xf>
    <xf applyAlignment="1" applyBorder="1" applyFill="1" applyFont="1" applyProtection="1" borderId="7" fillId="4" fontId="12" numFmtId="0" xfId="0">
      <alignment horizontal="left" vertical="center"/>
      <protection hidden="1"/>
    </xf>
    <xf applyAlignment="1" applyBorder="1" applyFill="1" applyFont="1" applyProtection="1" borderId="1" fillId="4" fontId="12" numFmtId="0" xfId="0">
      <alignment horizontal="left" vertical="center"/>
      <protection hidden="1"/>
    </xf>
    <xf applyAlignment="1" applyBorder="1" applyFill="1" applyFont="1" applyProtection="1" borderId="42" fillId="4" fontId="13" numFmtId="0" xfId="0">
      <alignment horizontal="left" vertical="center"/>
      <protection hidden="1"/>
    </xf>
    <xf applyAlignment="1" applyBorder="1" applyFill="1" applyFont="1" applyProtection="1" borderId="2" fillId="4" fontId="13" numFmtId="0" xfId="0">
      <alignment horizontal="left" vertical="center"/>
      <protection hidden="1"/>
    </xf>
    <xf applyAlignment="1" applyBorder="1" applyFill="1" applyFont="1" applyProtection="1" borderId="49" fillId="4" fontId="13" numFmtId="0" xfId="0">
      <alignment horizontal="left" vertical="center"/>
      <protection hidden="1"/>
    </xf>
    <xf applyAlignment="1" applyBorder="1" applyFill="1" applyFont="1" applyProtection="1" borderId="3" fillId="4" fontId="13" numFmtId="0" xfId="0">
      <alignment horizontal="left" vertical="center"/>
      <protection hidden="1"/>
    </xf>
    <xf applyAlignment="1" applyBorder="1" applyFill="1" applyFont="1" applyProtection="1" borderId="21" fillId="5" fontId="12" numFmtId="0" xfId="0">
      <alignment horizontal="left"/>
      <protection hidden="1"/>
    </xf>
    <xf applyAlignment="1" applyBorder="1" applyFill="1" applyFont="1" applyProtection="1" borderId="60" fillId="5" fontId="12" numFmtId="0" xfId="0">
      <alignment horizontal="left"/>
      <protection hidden="1"/>
    </xf>
    <xf applyAlignment="1" applyBorder="1" applyFill="1" applyFont="1" applyProtection="1" borderId="21" fillId="6" fontId="12" numFmtId="0" xfId="0">
      <alignment horizontal="left"/>
      <protection hidden="1"/>
    </xf>
    <xf applyAlignment="1" applyBorder="1" applyFill="1" applyFont="1" applyProtection="1" borderId="60" fillId="6" fontId="12" numFmtId="0" xfId="0">
      <alignment horizontal="left"/>
      <protection hidden="1"/>
    </xf>
    <xf applyAlignment="1" applyBorder="1" applyFill="1" applyFont="1" applyProtection="1" borderId="55" fillId="4" fontId="13" numFmtId="0" xfId="0">
      <alignment horizontal="left"/>
      <protection hidden="1"/>
    </xf>
    <xf applyAlignment="1" applyBorder="1" applyFill="1" applyFont="1" applyProtection="1" borderId="59" fillId="4" fontId="13" numFmtId="0" xfId="0">
      <alignment horizontal="left"/>
      <protection hidden="1"/>
    </xf>
    <xf applyAlignment="1" applyBorder="1" applyFill="1" applyFont="1" applyProtection="1" borderId="40" fillId="6" fontId="12" numFmtId="0" xfId="0">
      <alignment horizontal="left"/>
      <protection hidden="1"/>
    </xf>
    <xf applyAlignment="1" applyBorder="1" applyFill="1" applyFont="1" applyProtection="1" borderId="41" fillId="6" fontId="12" numFmtId="0" xfId="0">
      <alignment horizontal="left"/>
      <protection hidden="1"/>
    </xf>
    <xf applyAlignment="1" applyBorder="1" applyFill="1" applyFont="1" applyProtection="1" borderId="39" fillId="4" fontId="13" numFmtId="0" xfId="0">
      <alignment horizontal="left"/>
      <protection hidden="1"/>
    </xf>
    <xf applyAlignment="1" applyBorder="1" applyFill="1" applyFont="1" applyProtection="1" borderId="26" fillId="4" fontId="13" numFmtId="0" xfId="0">
      <alignment horizontal="left"/>
      <protection hidden="1"/>
    </xf>
    <xf applyAlignment="1" applyBorder="1" applyFill="1" applyFont="1" applyProtection="1" borderId="21" fillId="5" fontId="12" numFmtId="0" xfId="0">
      <alignment horizontal="center"/>
      <protection hidden="1"/>
    </xf>
    <xf applyAlignment="1" applyBorder="1" applyFill="1" applyFont="1" applyProtection="1" borderId="22" fillId="5" fontId="12" numFmtId="0" xfId="0">
      <alignment horizontal="center"/>
      <protection hidden="1"/>
    </xf>
    <xf applyAlignment="1" applyBorder="1" applyFill="1" applyFont="1" applyProtection="1" borderId="23" fillId="5" fontId="12" numFmtId="0" xfId="0">
      <alignment horizontal="center"/>
      <protection hidden="1"/>
    </xf>
    <xf applyAlignment="1" applyBorder="1" applyFill="1" applyFont="1" applyProtection="1" borderId="21" fillId="5" fontId="14" numFmtId="0" xfId="0">
      <alignment horizontal="center"/>
      <protection hidden="1"/>
    </xf>
    <xf applyAlignment="1" applyBorder="1" applyFill="1" applyFont="1" applyProtection="1" borderId="22" fillId="5" fontId="14" numFmtId="0" xfId="0">
      <alignment horizontal="center"/>
      <protection hidden="1"/>
    </xf>
    <xf applyAlignment="1" applyBorder="1" applyFill="1" applyFont="1" applyProtection="1" borderId="23" fillId="5" fontId="14" numFmtId="0" xfId="0">
      <alignment horizontal="center"/>
      <protection hidden="1"/>
    </xf>
    <xf applyAlignment="1" applyBorder="1" applyFill="1" applyFont="1" borderId="27" fillId="5" fontId="20" numFmtId="0" xfId="0">
      <alignment horizontal="center"/>
    </xf>
    <xf applyAlignment="1" applyBorder="1" applyFill="1" applyFont="1" borderId="6" fillId="5" fontId="20" numFmtId="0" xfId="0">
      <alignment horizontal="center"/>
    </xf>
    <xf applyAlignment="1" applyBorder="1" applyFont="1" applyProtection="1" borderId="9" fillId="0" fontId="20" numFmtId="0" xfId="0">
      <alignment horizontal="center"/>
      <protection hidden="1" locked="0"/>
    </xf>
    <xf applyAlignment="1" applyBorder="1" applyFont="1" applyProtection="1" borderId="10" fillId="0" fontId="20" numFmtId="0" xfId="0">
      <alignment horizontal="center"/>
      <protection hidden="1" locked="0"/>
    </xf>
    <xf applyAlignment="1" applyBorder="1" applyFont="1" borderId="18" fillId="0" fontId="21" numFmtId="0" xfId="0">
      <alignment horizontal="left" vertical="center" wrapText="1"/>
    </xf>
    <xf applyAlignment="1" applyBorder="1" applyFont="1" borderId="0" fillId="0" fontId="21" numFmtId="0" xfId="0">
      <alignment horizontal="left" vertical="center" wrapText="1"/>
    </xf>
    <xf applyAlignment="1" applyBorder="1" applyFill="1" applyFont="1" applyProtection="1" borderId="39" fillId="5" fontId="6" numFmtId="0" xfId="0">
      <alignment horizontal="center" vertical="center" wrapText="1"/>
      <protection hidden="1"/>
    </xf>
    <xf applyAlignment="1" applyBorder="1" applyFill="1" applyFont="1" applyProtection="1" borderId="34" fillId="5" fontId="6" numFmtId="0" xfId="0">
      <alignment horizontal="center" vertical="center" wrapText="1"/>
      <protection hidden="1"/>
    </xf>
    <xf applyAlignment="1" applyBorder="1" applyFill="1" applyFont="1" applyProtection="1" borderId="31" fillId="5" fontId="6" numFmtId="0" xfId="0">
      <alignment horizontal="center" vertical="center" wrapText="1"/>
      <protection hidden="1"/>
    </xf>
    <xf applyAlignment="1" applyBorder="1" applyFont="1" applyProtection="1" borderId="38" fillId="0" fontId="5" numFmtId="0" xfId="0">
      <alignment horizontal="center" vertical="center"/>
      <protection hidden="1"/>
    </xf>
    <xf applyAlignment="1" applyBorder="1" applyFont="1" applyProtection="1" borderId="33" fillId="0" fontId="5" numFmtId="0" xfId="0">
      <alignment horizontal="center" vertical="center"/>
      <protection hidden="1"/>
    </xf>
  </cellXfs>
  <cellStyles count="4">
    <cellStyle builtinId="3" name="Čárka" xfId="1"/>
    <cellStyle builtinId="4" name="Měna" xfId="2"/>
    <cellStyle builtinId="0" name="Normální" xfId="0"/>
    <cellStyle builtinId="5" name="Procenta" xfId="3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Down="0" diagonalUp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formatCode="dd/mm/yyyy" numFmtId="19"/>
      <border diagonalDown="0" diagonalUp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indent="0" justifyLastLine="0" readingOrder="0" shrinkToFit="0" textRotation="0" vertical="bottom" wrapText="0"/>
    </dxf>
    <dxf>
      <font>
        <b val="0"/>
        <i/>
        <strike/>
        <color theme="0" tint="-0.34998626667073579"/>
      </font>
    </dxf>
    <dxf>
      <font>
        <b val="0"/>
        <i/>
        <strike/>
        <color theme="0" tint="-0.34998626667073579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Relationship Id="rId8" Target="../customXml/item1.xml" Type="http://schemas.openxmlformats.org/officeDocument/2006/relationships/customXml"/>
<Relationship Id="rId9" Target="../customXml/item2.xml" Type="http://schemas.openxmlformats.org/officeDocument/2006/relationships/customXml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Relationship Id="rId10" Target="../media/image10.svg" Type="http://schemas.openxmlformats.org/officeDocument/2006/relationships/image"/>
<Relationship Id="rId11" Target="../media/image11.png" Type="http://schemas.openxmlformats.org/officeDocument/2006/relationships/image"/>
<Relationship Id="rId12" Target="../media/image12.svg" Type="http://schemas.openxmlformats.org/officeDocument/2006/relationships/image"/>
<Relationship Id="rId13" Target="../media/image13.png" Type="http://schemas.openxmlformats.org/officeDocument/2006/relationships/image"/>
<Relationship Id="rId2" Target="../media/image2.svg" Type="http://schemas.openxmlformats.org/officeDocument/2006/relationships/image"/>
<Relationship Id="rId3" Target="../media/image3.png" Type="http://schemas.openxmlformats.org/officeDocument/2006/relationships/image"/>
<Relationship Id="rId4" Target="../media/image4.svg" Type="http://schemas.openxmlformats.org/officeDocument/2006/relationships/image"/>
<Relationship Id="rId5" Target="../media/image5.png" Type="http://schemas.openxmlformats.org/officeDocument/2006/relationships/image"/>
<Relationship Id="rId6" Target="../media/image6.svg" Type="http://schemas.openxmlformats.org/officeDocument/2006/relationships/image"/>
<Relationship Id="rId7" Target="../media/image7.png" Type="http://schemas.openxmlformats.org/officeDocument/2006/relationships/image"/>
<Relationship Id="rId8" Target="../media/image8.svg" Type="http://schemas.openxmlformats.org/officeDocument/2006/relationships/image"/>
<Relationship Id="rId9" Target="../media/image9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190073</xdr:colOff>
      <xdr:row>7</xdr:row>
      <xdr:rowOff>148184</xdr:rowOff>
    </xdr:from>
    <xdr:to>
      <xdr:col>1</xdr:col>
      <xdr:colOff>704423</xdr:colOff>
      <xdr:row>7</xdr:row>
      <xdr:rowOff>657091</xdr:rowOff>
    </xdr:to>
    <xdr:pic>
      <xdr:nvPicPr>
        <xdr:cNvPr descr="Miminko se souvislou výplní" id="3" name="Grafický objekt 2">
          <a:extLst>
            <a:ext uri="{FF2B5EF4-FFF2-40B4-BE49-F238E27FC236}">
              <a16:creationId xmlns:a16="http://schemas.microsoft.com/office/drawing/2014/main" id="{B9FDDC99-D5DF-411A-A22B-016BB8FD2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02985" y="3476331"/>
          <a:ext cx="514350" cy="515257"/>
        </a:xfrm>
        <a:prstGeom prst="rect">
          <a:avLst/>
        </a:prstGeom>
      </xdr:spPr>
    </xdr:pic>
    <xdr:clientData/>
  </xdr:twoCellAnchor>
  <xdr:twoCellAnchor editAs="oneCell">
    <xdr:from>
      <xdr:col>1</xdr:col>
      <xdr:colOff>446794</xdr:colOff>
      <xdr:row>8</xdr:row>
      <xdr:rowOff>138527</xdr:rowOff>
    </xdr:from>
    <xdr:to>
      <xdr:col>1</xdr:col>
      <xdr:colOff>789694</xdr:colOff>
      <xdr:row>8</xdr:row>
      <xdr:rowOff>487777</xdr:rowOff>
    </xdr:to>
    <xdr:pic>
      <xdr:nvPicPr>
        <xdr:cNvPr descr="Bezpečnost potravin se souvislou výplní" id="7" name="Grafický objekt 6">
          <a:extLst>
            <a:ext uri="{FF2B5EF4-FFF2-40B4-BE49-F238E27FC236}">
              <a16:creationId xmlns:a16="http://schemas.microsoft.com/office/drawing/2014/main" id="{DAC8BD2D-0660-4140-B440-F89A65E09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cstate="print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59706" y="4139027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162058</xdr:colOff>
      <xdr:row>9</xdr:row>
      <xdr:rowOff>77321</xdr:rowOff>
    </xdr:from>
    <xdr:to>
      <xdr:col>1</xdr:col>
      <xdr:colOff>714508</xdr:colOff>
      <xdr:row>10</xdr:row>
      <xdr:rowOff>30848</xdr:rowOff>
    </xdr:to>
    <xdr:pic>
      <xdr:nvPicPr>
        <xdr:cNvPr descr="Školák se souvislou výplní" id="10" name="Grafický objekt 9">
          <a:extLst>
            <a:ext uri="{FF2B5EF4-FFF2-40B4-BE49-F238E27FC236}">
              <a16:creationId xmlns:a16="http://schemas.microsoft.com/office/drawing/2014/main" id="{689AE289-5CCA-40BD-9BF0-5F7E8C3E1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74970" y="4694145"/>
          <a:ext cx="552450" cy="541088"/>
        </a:xfrm>
        <a:prstGeom prst="rect">
          <a:avLst/>
        </a:prstGeom>
      </xdr:spPr>
    </xdr:pic>
    <xdr:clientData/>
  </xdr:twoCellAnchor>
  <xdr:twoCellAnchor editAs="oneCell">
    <xdr:from>
      <xdr:col>1</xdr:col>
      <xdr:colOff>455919</xdr:colOff>
      <xdr:row>10</xdr:row>
      <xdr:rowOff>138525</xdr:rowOff>
    </xdr:from>
    <xdr:to>
      <xdr:col>1</xdr:col>
      <xdr:colOff>798819</xdr:colOff>
      <xdr:row>10</xdr:row>
      <xdr:rowOff>487775</xdr:rowOff>
    </xdr:to>
    <xdr:pic>
      <xdr:nvPicPr>
        <xdr:cNvPr descr="Bezpečnost potravin se souvislou výplní" id="17" name="Grafický objekt 16">
          <a:extLst>
            <a:ext uri="{FF2B5EF4-FFF2-40B4-BE49-F238E27FC236}">
              <a16:creationId xmlns:a16="http://schemas.microsoft.com/office/drawing/2014/main" id="{59AE3A6C-4365-4299-8D83-C67D12D5A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cstate="print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8831" y="5349260"/>
          <a:ext cx="342900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232656</xdr:colOff>
      <xdr:row>6</xdr:row>
      <xdr:rowOff>74705</xdr:rowOff>
    </xdr:from>
    <xdr:to>
      <xdr:col>1</xdr:col>
      <xdr:colOff>731585</xdr:colOff>
      <xdr:row>6</xdr:row>
      <xdr:rowOff>573634</xdr:rowOff>
    </xdr:to>
    <xdr:pic>
      <xdr:nvPicPr>
        <xdr:cNvPr descr="Renovace (dům s ohňostrojem) se souvislou výplní" id="4" name="Grafický objekt 3">
          <a:extLst>
            <a:ext uri="{FF2B5EF4-FFF2-40B4-BE49-F238E27FC236}">
              <a16:creationId xmlns:a16="http://schemas.microsoft.com/office/drawing/2014/main" id="{E948D1C3-586D-45E6-ADF9-4720CAA25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445568" y="2797734"/>
          <a:ext cx="498929" cy="498929"/>
        </a:xfrm>
        <a:prstGeom prst="rect">
          <a:avLst/>
        </a:prstGeom>
      </xdr:spPr>
    </xdr:pic>
    <xdr:clientData/>
  </xdr:twoCellAnchor>
  <xdr:twoCellAnchor editAs="oneCell">
    <xdr:from>
      <xdr:col>1</xdr:col>
      <xdr:colOff>223586</xdr:colOff>
      <xdr:row>5</xdr:row>
      <xdr:rowOff>54431</xdr:rowOff>
    </xdr:from>
    <xdr:to>
      <xdr:col>1</xdr:col>
      <xdr:colOff>731584</xdr:colOff>
      <xdr:row>5</xdr:row>
      <xdr:rowOff>562429</xdr:rowOff>
    </xdr:to>
    <xdr:pic>
      <xdr:nvPicPr>
        <xdr:cNvPr descr="Uživatel se souvislou výplní" id="9" name="Grafický objekt 8">
          <a:extLst>
            <a:ext uri="{FF2B5EF4-FFF2-40B4-BE49-F238E27FC236}">
              <a16:creationId xmlns:a16="http://schemas.microsoft.com/office/drawing/2014/main" id="{1919A0A4-6FA0-418C-832B-458E3A5A8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436498" y="2172343"/>
          <a:ext cx="507998" cy="507998"/>
        </a:xfrm>
        <a:prstGeom prst="rect">
          <a:avLst/>
        </a:prstGeom>
      </xdr:spPr>
    </xdr:pic>
    <xdr:clientData/>
  </xdr:twoCellAnchor>
  <xdr:twoCellAnchor editAs="oneCell">
    <xdr:from>
      <xdr:col>1</xdr:col>
      <xdr:colOff>268941</xdr:colOff>
      <xdr:row>11</xdr:row>
      <xdr:rowOff>92849</xdr:rowOff>
    </xdr:from>
    <xdr:to>
      <xdr:col>1</xdr:col>
      <xdr:colOff>740655</xdr:colOff>
      <xdr:row>11</xdr:row>
      <xdr:rowOff>564563</xdr:rowOff>
    </xdr:to>
    <xdr:pic>
      <xdr:nvPicPr>
        <xdr:cNvPr descr="Daň se souvislou výplní" id="5" name="Grafický objekt 4">
          <a:extLst>
            <a:ext uri="{FF2B5EF4-FFF2-40B4-BE49-F238E27FC236}">
              <a16:creationId xmlns:a16="http://schemas.microsoft.com/office/drawing/2014/main" id="{9B119324-D871-4E5F-A094-766E81A7C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481853" y="5931114"/>
          <a:ext cx="471714" cy="471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7</xdr:col>
      <xdr:colOff>1532343</xdr:colOff>
      <xdr:row>0</xdr:row>
      <xdr:rowOff>1255058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4EA1F879-9BA7-4481-A41F-42C69340F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12912" y="0"/>
          <a:ext cx="11808137" cy="125505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displayName="státní_svátky" headerRowBorderDxfId="4" headerRowDxfId="5" id="1" mc:Ignorable="xr xr3" name="státní_svátky" ref="A17:B121" tableBorderDxfId="3" totalsRowBorderDxfId="2" totalsRowShown="0" xr:uid="{8D58D6BF-61C7-44C0-AD5E-1C94110103E9}">
  <autoFilter ref="A17:B121" xr:uid="{8D58D6BF-61C7-44C0-AD5E-1C94110103E9}"/>
  <tableColumns count="2">
    <tableColumn dataDxfId="1" id="1" name="Datum" xr3:uid="{90BA7DD0-C828-47DB-BAB1-D9AC73E03306}"/>
    <tableColumn dataDxfId="0" id="2" name="Státní svátek" xr3:uid="{80A0CB5A-FD9E-4FDB-88EB-DA1B3CF7F860}"/>
  </tableColumns>
  <tableStyleInfo name="TableStyleMedium2" showColumnStripes="0" showFirstColumn="0" showLastColumn="0" showRowStripes="1"/>
</table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57D3B9F9-0749-451A-B77F-5EB78F671646}">
  <sheetPr>
    <pageSetUpPr fitToPage="1"/>
  </sheetPr>
  <dimension ref="B1:Y58"/>
  <sheetViews>
    <sheetView showGridLines="0" tabSelected="1" workbookViewId="0" zoomScale="55" zoomScaleNormal="55">
      <selection activeCell="D6" sqref="D6"/>
    </sheetView>
  </sheetViews>
  <sheetFormatPr defaultColWidth="8.7109375" defaultRowHeight="14.25" x14ac:dyDescent="0.2"/>
  <cols>
    <col min="1" max="1" customWidth="true" style="21" width="3.140625" collapsed="false"/>
    <col min="2" max="2" customWidth="true" style="21" width="14.0" collapsed="false"/>
    <col min="3" max="3" customWidth="true" style="21" width="30.0" collapsed="false"/>
    <col min="4" max="4" customWidth="true" style="21" width="26.28515625" collapsed="false"/>
    <col min="5" max="5" customWidth="true" style="21" width="23.42578125" collapsed="false"/>
    <col min="6" max="6" customWidth="true" style="21" width="34.28515625" collapsed="false"/>
    <col min="7" max="7" customWidth="true" style="21" width="26.140625" collapsed="false"/>
    <col min="8" max="8" bestFit="true" customWidth="true" style="21" width="27.0" collapsed="false"/>
    <col min="9" max="9" customWidth="true" style="21" width="24.140625" collapsed="false"/>
    <col min="10" max="16384" style="21" width="8.7109375" collapsed="false"/>
  </cols>
  <sheetData>
    <row customHeight="1" ht="105" r="1" spans="2:9" thickBot="1" x14ac:dyDescent="0.25"/>
    <row customHeight="1" ht="14.25" r="2" spans="2:9" x14ac:dyDescent="0.2">
      <c r="B2" s="159" t="s">
        <v>81</v>
      </c>
      <c r="C2" s="160"/>
      <c r="D2" s="160"/>
      <c r="E2" s="160"/>
      <c r="F2" s="160"/>
      <c r="G2" s="160"/>
      <c r="H2" s="161"/>
    </row>
    <row customHeight="1" ht="15" r="3" spans="2:9" thickBot="1" x14ac:dyDescent="0.25">
      <c r="B3" s="162"/>
      <c r="C3" s="163"/>
      <c r="D3" s="163"/>
      <c r="E3" s="163"/>
      <c r="F3" s="163"/>
      <c r="G3" s="163"/>
      <c r="H3" s="164"/>
    </row>
    <row ht="15" r="4" spans="2:9" thickBot="1" x14ac:dyDescent="0.25"/>
    <row customHeight="1" ht="18.600000000000001" r="5" spans="2:9" x14ac:dyDescent="0.2">
      <c r="B5" s="165" t="s">
        <v>27</v>
      </c>
      <c r="C5" s="166"/>
      <c r="D5" s="22" t="s">
        <v>31</v>
      </c>
      <c r="E5" s="23" t="s">
        <v>19</v>
      </c>
      <c r="F5" s="24" t="s">
        <v>26</v>
      </c>
      <c r="G5" s="22" t="s">
        <v>31</v>
      </c>
      <c r="H5" s="25" t="s">
        <v>19</v>
      </c>
    </row>
    <row customHeight="1" ht="48" r="6" spans="2:9" x14ac:dyDescent="0.2">
      <c r="B6" s="9"/>
      <c r="C6" s="26" t="s">
        <v>40</v>
      </c>
      <c r="D6" s="27"/>
      <c r="E6" s="28" t="str">
        <f>IF(D6="","&lt;- vyplňte buňku vlevo","ok")</f>
        <v>&lt;- vyplňte buňku vlevo</v>
      </c>
      <c r="F6" s="29" t="s">
        <v>90</v>
      </c>
      <c r="G6" s="30"/>
      <c r="H6" s="31" t="str">
        <f>IF(G6="","&lt;- vyplňte buňku vlevo",IF(G6&lt;'Pomocný list'!G18,"datum zahájení realizace projektu nesmí předcházet datu vyhlášení výzvy","ok"))</f>
        <v>&lt;- vyplňte buňku vlevo</v>
      </c>
    </row>
    <row customHeight="1" ht="48" r="7" spans="2:9" x14ac:dyDescent="0.2">
      <c r="B7" s="32"/>
      <c r="C7" s="26" t="s">
        <v>0</v>
      </c>
      <c r="D7" s="33"/>
      <c r="E7" s="28" t="str">
        <f>IF(kapacita="","&lt;- vyplňte buňku vlevo","ok")</f>
        <v>&lt;- vyplňte buňku vlevo</v>
      </c>
      <c r="F7" s="29" t="s">
        <v>91</v>
      </c>
      <c r="G7" s="30"/>
      <c r="H7" s="28" t="str">
        <f>IF(G7="","&lt;- vyplňte buňku vlevo","ok")</f>
        <v>&lt;- vyplňte buňku vlevo</v>
      </c>
    </row>
    <row customHeight="1" ht="52.5" r="8" spans="2:9" x14ac:dyDescent="0.2">
      <c r="B8" s="171"/>
      <c r="C8" s="34" t="s">
        <v>62</v>
      </c>
      <c r="D8" s="33"/>
      <c r="E8" s="31" t="str">
        <f>IF(D8="","&lt;- vyplňte buňku vlevo",IF(($D$8+$D$10)&gt;kapacita,"CHYBA! Vyšší plánovaný počet obsazených míst než je dle kapacity DS možné!","ok"))</f>
        <v>&lt;- vyplňte buňku vlevo</v>
      </c>
      <c r="F8" s="29" t="s">
        <v>61</v>
      </c>
      <c r="G8" s="35" t="str">
        <f>IF(OR(G6="",G7=""),"",DATE(YEAR(G7)+1,MONTH(G7),DAY(G7))-1)</f>
        <v/>
      </c>
      <c r="H8" s="31" t="str">
        <f>IF(G8="","",IF(G8&gt;'Pomocný list'!$B$9,"překročen nejzazší možný termín pro ukončení realizace projektu dle výzvy!","ok"))</f>
        <v/>
      </c>
    </row>
    <row customHeight="1" ht="48.95" r="9" spans="2:9" x14ac:dyDescent="0.2">
      <c r="B9" s="172"/>
      <c r="C9" s="34" t="s">
        <v>63</v>
      </c>
      <c r="D9" s="33"/>
      <c r="E9" s="31" t="str">
        <f>IF(D9="","&lt;- vyplňte buňku vlevo",IF($D$9&gt;$D$8,"CHYBA! Vyšší plánovaný počet jednotek stravy než počet obsazených míst mladšími dětmi!","ok"))</f>
        <v>&lt;- vyplňte buňku vlevo</v>
      </c>
      <c r="F9" s="29" t="s">
        <v>43</v>
      </c>
      <c r="G9" s="36" t="str">
        <f>IFERROR(IF(OR(G6="",G7="",G8=""),"",DATEDIF(G6,G8,"m")+1),"")</f>
        <v/>
      </c>
      <c r="H9" s="31" t="str">
        <f>IF(G9="","","ok")</f>
        <v/>
      </c>
    </row>
    <row customHeight="1" ht="47.1" r="10" spans="2:9" x14ac:dyDescent="0.2">
      <c r="B10" s="171"/>
      <c r="C10" s="34" t="s">
        <v>64</v>
      </c>
      <c r="D10" s="33"/>
      <c r="E10" s="31" t="str">
        <f>IF(D10="","&lt;- vyplňte buňku vlevo",IF(($D$8+$D$10)&gt;kapacita,"CHYBA! Vyšší plánovaný počet obsazených míst než je dle kapacity DS možné!","ok"))</f>
        <v>&lt;- vyplňte buňku vlevo</v>
      </c>
      <c r="F10" s="29" t="s">
        <v>29</v>
      </c>
      <c r="G10" s="37" t="s">
        <v>76</v>
      </c>
      <c r="H10" s="31" t="str">
        <f>IF(G10="","&lt;- vyplňte buňku vlevo",IF(G10="Pracovní dny vč. víkendů","Provoz vč. víkendů je možný jen pokud je skutečně zajištěn a odpovídá provoznímu řádu.","ok"))</f>
        <v>ok</v>
      </c>
    </row>
    <row customHeight="1" ht="49.5" r="11" spans="2:9" x14ac:dyDescent="0.2">
      <c r="B11" s="173"/>
      <c r="C11" s="38" t="s">
        <v>65</v>
      </c>
      <c r="D11" s="39"/>
      <c r="E11" s="40" t="str">
        <f>IF(D11="","&lt;- vyplňte buňku vlevo",IF($D$11&gt;$D$10,"CHYBA! Vyšší plánovaný počet jednotek stravy než počet obsazených míst mladšími dětmi!","ok"))</f>
        <v>&lt;- vyplňte buňku vlevo</v>
      </c>
      <c r="F11" s="41" t="s">
        <v>20</v>
      </c>
      <c r="G11" s="42" t="str">
        <f>IFERROR(IF(OR(G7="",G8=""),"",IF($G$10="Pracovní dny",NETWORKDAYS($G$7,$G$8),DATEDIF($G$7,$G$8,"d")+1)),"")</f>
        <v/>
      </c>
      <c r="H11" s="40" t="str">
        <f>IF(G11="","","ok")</f>
        <v/>
      </c>
    </row>
    <row customHeight="1" ht="49.5" r="12" spans="2:9" thickBot="1" x14ac:dyDescent="0.25">
      <c r="B12" s="43"/>
      <c r="C12" s="44" t="s">
        <v>69</v>
      </c>
      <c r="D12" s="45"/>
      <c r="E12" s="46" t="str">
        <f>IF(D12="","&lt;- vyplňte buňku vlevo","ok")</f>
        <v>&lt;- vyplňte buňku vlevo</v>
      </c>
      <c r="F12" s="47" t="s">
        <v>72</v>
      </c>
      <c r="G12" s="48">
        <v>0.15</v>
      </c>
      <c r="H12" s="46" t="str">
        <f>IF(G12="","&lt;- vyplňte buňku vlevo","ok")</f>
        <v>ok</v>
      </c>
    </row>
    <row customHeight="1" ht="18.600000000000001" r="14" spans="2:9" x14ac:dyDescent="0.2">
      <c r="B14" s="142" t="s">
        <v>59</v>
      </c>
      <c r="C14" s="142"/>
      <c r="D14" s="142"/>
      <c r="E14" s="49"/>
      <c r="F14" s="49"/>
      <c r="G14" s="49"/>
    </row>
    <row customHeight="1" ht="6.6" r="15" spans="2:9" thickBot="1" x14ac:dyDescent="0.25">
      <c r="B15" s="49"/>
      <c r="C15" s="49"/>
      <c r="D15" s="49"/>
      <c r="E15" s="49"/>
      <c r="F15" s="49"/>
      <c r="G15" s="49"/>
    </row>
    <row customHeight="1" ht="18.600000000000001" r="16" spans="2:9" thickBot="1" x14ac:dyDescent="0.25">
      <c r="B16" s="174" t="s">
        <v>37</v>
      </c>
      <c r="C16" s="175"/>
      <c r="D16" s="176" t="s">
        <v>21</v>
      </c>
      <c r="E16" s="176"/>
      <c r="F16" s="176"/>
      <c r="G16" s="50" t="s">
        <v>22</v>
      </c>
      <c r="H16" s="50" t="s">
        <v>60</v>
      </c>
      <c r="I16" s="51" t="s">
        <v>24</v>
      </c>
    </row>
    <row customHeight="1" ht="18.600000000000001" r="17" spans="2:25" x14ac:dyDescent="0.2">
      <c r="B17" s="168" t="s">
        <v>41</v>
      </c>
      <c r="C17" s="169"/>
      <c r="D17" s="170" t="str">
        <f>IF(D12="","Vytvořené místo v dětské skupině",IF(D12="Nemám nárok na odpočet DPH","Vytvořené místo v dětské skupině vč. DPH","Vytvořené místo v dětské skupině bez DPH"))</f>
        <v>Vytvořené místo v dětské skupině</v>
      </c>
      <c r="E17" s="170"/>
      <c r="F17" s="170"/>
      <c r="G17" s="52" t="str">
        <f>IF(kapacita="","-",kapacita)</f>
        <v>-</v>
      </c>
      <c r="H17" s="53" t="str">
        <f>IF(D12="","dle typu plátce DPH",IF(D12="Mám nárok na odpočet DPH",'Pomocný list'!E7,'Pomocný list'!E8))</f>
        <v>dle typu plátce DPH</v>
      </c>
      <c r="I17" s="54">
        <f>IFERROR(G17*H17,0)</f>
        <v>0</v>
      </c>
      <c r="J17" s="128" t="str">
        <f><![CDATA[IF(AND(I17*1.5>I18+I19,D6<>"",kapacita<>"",D8<>"",D9<>"",D10<>"",D11<>"",D12<>"",G6<>"",G7<>"",G10<>"",G12<>""),"NENÍ MOŽNÉ SPLNIT PRAVIDLO TÝKAJÍCÍ SE MINIMA ZPŮSOBILÝCH NÁKLADŮ NA OBSAZENOST DS DLE SPECIFICKÉ ČÁSTI PRAVIDEL, KAP. 4.1.5 - JE TŘEBA NAVÝŠIT PODÍL OBSAZENÝCH MÍST MLADŠÍMI DĚTMI","")]]></f>
        <v/>
      </c>
      <c r="K17" s="129"/>
      <c r="L17" s="129"/>
      <c r="M17" s="129"/>
      <c r="N17" s="129"/>
      <c r="O17" s="129"/>
      <c r="P17" s="129"/>
      <c r="Q17" s="129"/>
      <c r="R17" s="111"/>
      <c r="S17" s="111"/>
      <c r="T17" s="111"/>
      <c r="U17" s="111"/>
      <c r="V17" s="111"/>
      <c r="W17" s="111"/>
      <c r="X17" s="111"/>
      <c r="Y17" s="111"/>
    </row>
    <row customHeight="1" ht="18.600000000000001" r="18" spans="2:25" x14ac:dyDescent="0.2">
      <c r="B18" s="177" t="s">
        <v>30</v>
      </c>
      <c r="C18" s="178"/>
      <c r="D18" s="181" t="s">
        <v>15</v>
      </c>
      <c r="E18" s="181"/>
      <c r="F18" s="181"/>
      <c r="G18" s="55" t="str">
        <f>IFERROR(D8*2*G11,"-")</f>
        <v>-</v>
      </c>
      <c r="H18" s="56">
        <f>'Pomocný list'!$E3</f>
        <v>278.2</v>
      </c>
      <c r="I18" s="57">
        <f>IFERROR(G18*H18,0)</f>
        <v>0</v>
      </c>
      <c r="J18" s="128"/>
      <c r="K18" s="129"/>
      <c r="L18" s="129"/>
      <c r="M18" s="129"/>
      <c r="N18" s="129"/>
      <c r="O18" s="129"/>
      <c r="P18" s="129"/>
      <c r="Q18" s="129"/>
      <c r="R18" s="111"/>
      <c r="S18" s="111"/>
      <c r="T18" s="111"/>
      <c r="U18" s="111"/>
      <c r="V18" s="111"/>
      <c r="W18" s="111"/>
      <c r="X18" s="111"/>
      <c r="Y18" s="111"/>
    </row>
    <row customHeight="1" ht="18.600000000000001" r="19" spans="2:25" x14ac:dyDescent="0.2">
      <c r="B19" s="179"/>
      <c r="C19" s="180"/>
      <c r="D19" s="167" t="s">
        <v>16</v>
      </c>
      <c r="E19" s="167"/>
      <c r="F19" s="167"/>
      <c r="G19" s="58" t="str">
        <f>IFERROR(D10*2*G11,"-")</f>
        <v>-</v>
      </c>
      <c r="H19" s="59">
        <f>'Pomocný list'!$E4</f>
        <v>163.65</v>
      </c>
      <c r="I19" s="57">
        <f>IFERROR(G19*H19,0)</f>
        <v>0</v>
      </c>
      <c r="J19" s="128"/>
      <c r="K19" s="129"/>
      <c r="L19" s="129"/>
      <c r="M19" s="129"/>
      <c r="N19" s="129"/>
      <c r="O19" s="129"/>
      <c r="P19" s="129"/>
      <c r="Q19" s="129"/>
      <c r="R19" s="111"/>
      <c r="S19" s="111"/>
      <c r="T19" s="111"/>
      <c r="U19" s="111"/>
      <c r="V19" s="111"/>
      <c r="W19" s="111"/>
      <c r="X19" s="111"/>
      <c r="Y19" s="111"/>
    </row>
    <row customHeight="1" ht="18.600000000000001" r="20" spans="2:25" x14ac:dyDescent="0.2">
      <c r="B20" s="179"/>
      <c r="C20" s="180"/>
      <c r="D20" s="182" t="s">
        <v>17</v>
      </c>
      <c r="E20" s="183"/>
      <c r="F20" s="184"/>
      <c r="G20" s="58" t="str">
        <f>IFERROR(D9*2*G11,"-")</f>
        <v>-</v>
      </c>
      <c r="H20" s="59">
        <f>'Pomocný list'!$E5</f>
        <v>12.67</v>
      </c>
      <c r="I20" s="57">
        <f>IFERROR(G20*H20,0)</f>
        <v>0</v>
      </c>
      <c r="J20" s="128"/>
      <c r="K20" s="129"/>
      <c r="L20" s="129"/>
      <c r="M20" s="129"/>
      <c r="N20" s="129"/>
      <c r="O20" s="129"/>
      <c r="P20" s="129"/>
      <c r="Q20" s="129"/>
      <c r="R20" s="111"/>
      <c r="S20" s="111"/>
      <c r="T20" s="111"/>
      <c r="U20" s="111"/>
      <c r="V20" s="111"/>
      <c r="W20" s="111"/>
      <c r="X20" s="111"/>
      <c r="Y20" s="111"/>
    </row>
    <row customHeight="1" ht="18.600000000000001" r="21" spans="2:25" x14ac:dyDescent="0.2">
      <c r="B21" s="179"/>
      <c r="C21" s="180"/>
      <c r="D21" s="167" t="s">
        <v>18</v>
      </c>
      <c r="E21" s="167"/>
      <c r="F21" s="167"/>
      <c r="G21" s="58" t="str">
        <f>IFERROR(D11*2*G11,"-")</f>
        <v>-</v>
      </c>
      <c r="H21" s="59">
        <f>'Pomocný list'!$E6</f>
        <v>7.45</v>
      </c>
      <c r="I21" s="57">
        <f>IFERROR(G21*H21,0)</f>
        <v>0</v>
      </c>
      <c r="J21" s="128"/>
      <c r="K21" s="129"/>
      <c r="L21" s="129"/>
      <c r="M21" s="129"/>
      <c r="N21" s="129"/>
      <c r="O21" s="129"/>
      <c r="P21" s="129"/>
      <c r="Q21" s="129"/>
      <c r="R21" s="111"/>
      <c r="S21" s="111"/>
      <c r="T21" s="111"/>
      <c r="U21" s="111"/>
      <c r="V21" s="111"/>
      <c r="W21" s="111"/>
      <c r="X21" s="111"/>
      <c r="Y21" s="111"/>
    </row>
    <row customHeight="1" ht="18.600000000000001" r="22" spans="2:25" thickBot="1" x14ac:dyDescent="0.25">
      <c r="B22" s="150" t="s">
        <v>36</v>
      </c>
      <c r="C22" s="151"/>
      <c r="D22" s="143" t="s">
        <v>23</v>
      </c>
      <c r="E22" s="143"/>
      <c r="F22" s="143"/>
      <c r="G22" s="60" t="str">
        <f>IF(I22=0,"-",I22*100)</f>
        <v>-</v>
      </c>
      <c r="H22" s="61" t="s">
        <v>23</v>
      </c>
      <c r="I22" s="62">
        <f>ROUNDDOWN(SUM(I18:I21)*G12,2)</f>
        <v>0</v>
      </c>
      <c r="J22" s="128"/>
      <c r="K22" s="129"/>
      <c r="L22" s="129"/>
      <c r="M22" s="129"/>
      <c r="N22" s="129"/>
      <c r="O22" s="129"/>
      <c r="P22" s="129"/>
      <c r="Q22" s="129"/>
      <c r="R22" s="111"/>
      <c r="S22" s="111"/>
      <c r="T22" s="111"/>
      <c r="U22" s="111"/>
      <c r="V22" s="111"/>
      <c r="W22" s="111"/>
      <c r="X22" s="111"/>
      <c r="Y22" s="111"/>
    </row>
    <row customHeight="1" ht="18.600000000000001" r="23" spans="2:25" thickBot="1" x14ac:dyDescent="0.25">
      <c r="B23" s="144" t="s">
        <v>39</v>
      </c>
      <c r="C23" s="145"/>
      <c r="D23" s="145"/>
      <c r="E23" s="145"/>
      <c r="F23" s="145"/>
      <c r="G23" s="145"/>
      <c r="H23" s="145"/>
      <c r="I23" s="63">
        <f>SUM(I17:I22)</f>
        <v>0</v>
      </c>
      <c r="J23" s="128"/>
      <c r="K23" s="129"/>
      <c r="L23" s="129"/>
      <c r="M23" s="129"/>
      <c r="N23" s="129"/>
      <c r="O23" s="129"/>
      <c r="P23" s="129"/>
      <c r="Q23" s="129"/>
    </row>
    <row customHeight="1" ht="18.600000000000001" r="24" spans="2:25" x14ac:dyDescent="0.2">
      <c r="B24" s="49"/>
      <c r="C24" s="49"/>
      <c r="D24" s="49"/>
      <c r="E24" s="49"/>
      <c r="F24" s="49"/>
      <c r="G24" s="49"/>
    </row>
    <row customHeight="1" ht="18.600000000000001" r="25" spans="2:25" x14ac:dyDescent="0.2">
      <c r="B25" s="142" t="s">
        <v>92</v>
      </c>
      <c r="C25" s="142"/>
      <c r="D25" s="142"/>
      <c r="E25" s="142"/>
      <c r="F25" s="49"/>
      <c r="G25" s="49"/>
    </row>
    <row customHeight="1" ht="6.6" r="26" spans="2:25" thickBot="1" x14ac:dyDescent="0.25">
      <c r="B26" s="64"/>
      <c r="C26" s="64"/>
      <c r="D26" s="64"/>
      <c r="E26" s="64"/>
      <c r="F26" s="64"/>
      <c r="G26" s="64"/>
    </row>
    <row customHeight="1" ht="15" r="27" spans="2:25" thickBot="1" x14ac:dyDescent="0.25">
      <c r="B27" s="65" t="s">
        <v>38</v>
      </c>
      <c r="C27" s="152" t="s">
        <v>21</v>
      </c>
      <c r="D27" s="153"/>
      <c r="E27" s="154"/>
      <c r="F27" s="66" t="s">
        <v>13</v>
      </c>
      <c r="G27" s="66" t="s">
        <v>22</v>
      </c>
      <c r="H27" s="65" t="s">
        <v>60</v>
      </c>
      <c r="I27" s="66" t="s">
        <v>24</v>
      </c>
    </row>
    <row customHeight="1" ht="18" r="28" spans="2:25" thickBot="1" x14ac:dyDescent="0.3">
      <c r="B28" s="130" t="s">
        <v>88</v>
      </c>
      <c r="C28" s="131"/>
      <c r="D28" s="131"/>
      <c r="E28" s="131"/>
      <c r="F28" s="131"/>
      <c r="G28" s="131"/>
      <c r="H28" s="132"/>
      <c r="I28" s="67">
        <f>SUM(I29:I33)</f>
        <v>0</v>
      </c>
    </row>
    <row customHeight="1" ht="15" r="29" spans="2:25" x14ac:dyDescent="0.2">
      <c r="B29" s="68"/>
      <c r="C29" s="155" t="s">
        <v>42</v>
      </c>
      <c r="D29" s="156"/>
      <c r="E29" s="158"/>
      <c r="F29" s="69" t="s">
        <v>23</v>
      </c>
      <c r="G29" s="70" t="str">
        <f>IF(kapacita=0,"-",kapacita)</f>
        <v>-</v>
      </c>
      <c r="H29" s="71" t="str">
        <f>H17</f>
        <v>dle typu plátce DPH</v>
      </c>
      <c r="I29" s="72">
        <f>IFERROR(G29*H29,0)</f>
        <v>0</v>
      </c>
    </row>
    <row customHeight="1" ht="15" r="30" spans="2:25" x14ac:dyDescent="0.2">
      <c r="B30" s="73" t="str">
        <f>IF(G6="","",G6)</f>
        <v/>
      </c>
      <c r="C30" s="139" t="s">
        <v>15</v>
      </c>
      <c r="D30" s="140"/>
      <c r="E30" s="141"/>
      <c r="F30" s="74" t="str">
        <f>IFERROR(IF($G$10="Pracovní dny",NETWORKDAYS($G$7,$B$32),DATEDIF($G$7,$B$32,"d")+1),"-")</f>
        <v>-</v>
      </c>
      <c r="G30" s="75" t="str">
        <f>IFERROR($D$8*2*F30,"-")</f>
        <v>-</v>
      </c>
      <c r="H30" s="76">
        <f>H18</f>
        <v>278.2</v>
      </c>
      <c r="I30" s="77">
        <f>IFERROR(G30*H30,0)</f>
        <v>0</v>
      </c>
    </row>
    <row customHeight="1" ht="15" r="31" spans="2:25" x14ac:dyDescent="0.2">
      <c r="B31" s="73" t="s">
        <v>23</v>
      </c>
      <c r="C31" s="146" t="s">
        <v>16</v>
      </c>
      <c r="D31" s="147"/>
      <c r="E31" s="148"/>
      <c r="F31" s="74" t="str">
        <f>IFERROR(IF($G$10="Pracovní dny",NETWORKDAYS($G$7,$B$32),DATEDIF($G$7,$B$32,"d")+1),"-")</f>
        <v>-</v>
      </c>
      <c r="G31" s="75" t="str">
        <f>IFERROR($D$10*2*F31,"-")</f>
        <v>-</v>
      </c>
      <c r="H31" s="76">
        <f>H19</f>
        <v>163.65</v>
      </c>
      <c r="I31" s="77">
        <f>IFERROR(G31*H31,0)</f>
        <v>0</v>
      </c>
    </row>
    <row customHeight="1" ht="15" r="32" spans="2:25" x14ac:dyDescent="0.2">
      <c r="B32" s="73" t="str">
        <f>IF(OR(G6="",G7=""),"",DATE(YEAR(G7),MONTH(G7)+1,DAY(G7))-1)</f>
        <v/>
      </c>
      <c r="C32" s="146" t="s">
        <v>17</v>
      </c>
      <c r="D32" s="147"/>
      <c r="E32" s="148"/>
      <c r="F32" s="74" t="str">
        <f>IFERROR(IF($G$10="Pracovní dny",NETWORKDAYS($G$7,$B$32),DATEDIF($G$7,$B$32,"d")+1),"-")</f>
        <v>-</v>
      </c>
      <c r="G32" s="75" t="str">
        <f>IFERROR($D$9*2*F32,"-")</f>
        <v>-</v>
      </c>
      <c r="H32" s="78">
        <f>H20</f>
        <v>12.67</v>
      </c>
      <c r="I32" s="77">
        <f>IFERROR(G32*H32,0)</f>
        <v>0</v>
      </c>
    </row>
    <row customHeight="1" ht="15" r="33" spans="2:9" thickBot="1" x14ac:dyDescent="0.25">
      <c r="B33" s="73"/>
      <c r="C33" s="136" t="s">
        <v>18</v>
      </c>
      <c r="D33" s="137"/>
      <c r="E33" s="138"/>
      <c r="F33" s="74" t="str">
        <f>IFERROR(IF($G$10="Pracovní dny",NETWORKDAYS($G$7,$B$32),DATEDIF($G$7,$B$32,"d")+1),"-")</f>
        <v>-</v>
      </c>
      <c r="G33" s="75" t="str">
        <f>IFERROR($D$11*2*F33,"-")</f>
        <v>-</v>
      </c>
      <c r="H33" s="79">
        <f>H21</f>
        <v>7.45</v>
      </c>
      <c r="I33" s="80">
        <f>IFERROR(G33*H33,0)</f>
        <v>0</v>
      </c>
    </row>
    <row ht="16.5" r="34" spans="2:9" thickBot="1" x14ac:dyDescent="0.3">
      <c r="B34" s="130" t="str">
        <f>IF(I23&gt;5000000,"2. SLEDOVANÉ OBDOBÍ - Provoz dětské skupiny (2. - 4. měsíc)","2. SLEDOVANÉ OBDOBÍ - Provoz dětské skupiny (2. - 12. měsíc)")</f>
        <v>2. SLEDOVANÉ OBDOBÍ - Provoz dětské skupiny (2. - 12. měsíc)</v>
      </c>
      <c r="C34" s="131"/>
      <c r="D34" s="131"/>
      <c r="E34" s="131"/>
      <c r="F34" s="131"/>
      <c r="G34" s="131"/>
      <c r="H34" s="132"/>
      <c r="I34" s="67">
        <f>SUM(I35:I38)</f>
        <v>0</v>
      </c>
    </row>
    <row ht="15.75" r="35" spans="2:9" x14ac:dyDescent="0.2">
      <c r="B35" s="81"/>
      <c r="C35" s="155" t="s">
        <v>15</v>
      </c>
      <c r="D35" s="156"/>
      <c r="E35" s="157"/>
      <c r="F35" s="82" t="str">
        <f>IFERROR(IF($G$10="Pracovní dny",NETWORKDAYS($B$36,$B$38),DATEDIF($B$36,$B$38,"d")+1),"-")</f>
        <v>-</v>
      </c>
      <c r="G35" s="83" t="str">
        <f>IFERROR($D$8*2*F35,"-")</f>
        <v>-</v>
      </c>
      <c r="H35" s="84">
        <f>H18</f>
        <v>278.2</v>
      </c>
      <c r="I35" s="85">
        <f>IFERROR(G35*H35,0)</f>
        <v>0</v>
      </c>
    </row>
    <row ht="15.75" r="36" spans="2:9" x14ac:dyDescent="0.2">
      <c r="B36" s="86" t="str">
        <f>IF(OR(G7="",G8=""),"",B32+1)</f>
        <v/>
      </c>
      <c r="C36" s="146" t="s">
        <v>16</v>
      </c>
      <c r="D36" s="147"/>
      <c r="E36" s="149"/>
      <c r="F36" s="87" t="str">
        <f>IFERROR(IF($G$10="Pracovní dny",NETWORKDAYS($B$36,$B$38),DATEDIF($B$36,$B$38,"d")+1),"-")</f>
        <v>-</v>
      </c>
      <c r="G36" s="88" t="str">
        <f>IFERROR($D$10*2*F36,"-")</f>
        <v>-</v>
      </c>
      <c r="H36" s="89">
        <f>H19</f>
        <v>163.65</v>
      </c>
      <c r="I36" s="90">
        <f>IFERROR(G36*H36,0)</f>
        <v>0</v>
      </c>
    </row>
    <row ht="15.75" r="37" spans="2:9" x14ac:dyDescent="0.2">
      <c r="B37" s="91" t="s">
        <v>23</v>
      </c>
      <c r="C37" s="146" t="s">
        <v>17</v>
      </c>
      <c r="D37" s="147"/>
      <c r="E37" s="149"/>
      <c r="F37" s="87" t="str">
        <f>IFERROR(IF($G$10="Pracovní dny",NETWORKDAYS($B$36,$B$38),DATEDIF($B$36,$B$38,"d")+1),"-")</f>
        <v>-</v>
      </c>
      <c r="G37" s="88" t="str">
        <f>IFERROR($D$9*2*F37,"-")</f>
        <v>-</v>
      </c>
      <c r="H37" s="89">
        <f>H20</f>
        <v>12.67</v>
      </c>
      <c r="I37" s="90">
        <f>IFERROR(G37*H37,0)</f>
        <v>0</v>
      </c>
    </row>
    <row ht="16.5" r="38" spans="2:9" thickBot="1" x14ac:dyDescent="0.25">
      <c r="B38" s="92" t="str">
        <f>IF(OR(G7="",G8=""),"",IF(I23&gt;5000000,EDATE(B36,3)-1,G8))</f>
        <v/>
      </c>
      <c r="C38" s="133" t="s">
        <v>18</v>
      </c>
      <c r="D38" s="134"/>
      <c r="E38" s="135"/>
      <c r="F38" s="93" t="str">
        <f>IFERROR(IF($G$10="Pracovní dny",NETWORKDAYS($B$36,$B$38),DATEDIF($B$36,$B$38,"d")+1),"-")</f>
        <v>-</v>
      </c>
      <c r="G38" s="94" t="str">
        <f>IFERROR($D$11*2*F38,"-")</f>
        <v>-</v>
      </c>
      <c r="H38" s="95">
        <f>H21</f>
        <v>7.45</v>
      </c>
      <c r="I38" s="96">
        <f>IFERROR(G38*H38,0)</f>
        <v>0</v>
      </c>
    </row>
    <row ht="16.5" r="39" spans="2:9" thickBot="1" x14ac:dyDescent="0.3">
      <c r="B39" s="130" t="str">
        <f>IF(I23&gt;5000000,"3. SLEDOVANÉ OBDOBÍ - Provoz dětské skupiny (5. - 8. měsíc)","")</f>
        <v/>
      </c>
      <c r="C39" s="131"/>
      <c r="D39" s="131"/>
      <c r="E39" s="131"/>
      <c r="F39" s="131"/>
      <c r="G39" s="131"/>
      <c r="H39" s="132"/>
      <c r="I39" s="67">
        <f>SUM(I40:I43)</f>
        <v>0</v>
      </c>
    </row>
    <row ht="15.75" r="40" spans="2:9" x14ac:dyDescent="0.2">
      <c r="B40" s="73"/>
      <c r="C40" s="139" t="s">
        <v>15</v>
      </c>
      <c r="D40" s="140"/>
      <c r="E40" s="141"/>
      <c r="F40" s="74" t="str">
        <f>IFERROR(IF($G$10="Pracovní dny",NETWORKDAYS($B$41,$B$43),DATEDIF($B$41,$B$43,"d")+1),"-")</f>
        <v>-</v>
      </c>
      <c r="G40" s="75" t="str">
        <f>IFERROR($D$8*2*F40,"-")</f>
        <v>-</v>
      </c>
      <c r="H40" s="76">
        <f>H18</f>
        <v>278.2</v>
      </c>
      <c r="I40" s="77">
        <f>IFERROR(G40*H40,0)</f>
        <v>0</v>
      </c>
    </row>
    <row ht="15.75" r="41" spans="2:9" x14ac:dyDescent="0.2">
      <c r="B41" s="73" t="str">
        <f>IF(I23&gt;5000000,B38+1,"")</f>
        <v/>
      </c>
      <c r="C41" s="146" t="s">
        <v>16</v>
      </c>
      <c r="D41" s="147"/>
      <c r="E41" s="148"/>
      <c r="F41" s="74" t="str">
        <f>IFERROR(IF($G$10="Pracovní dny",NETWORKDAYS($B$41,$B$43),DATEDIF($B$41,$B$43,"d")+1),"-")</f>
        <v>-</v>
      </c>
      <c r="G41" s="75" t="str">
        <f>IFERROR($D$10*2*F41,"-")</f>
        <v>-</v>
      </c>
      <c r="H41" s="76">
        <f>H19</f>
        <v>163.65</v>
      </c>
      <c r="I41" s="77">
        <f>IFERROR(G41*H41,0)</f>
        <v>0</v>
      </c>
    </row>
    <row ht="15.75" r="42" spans="2:9" x14ac:dyDescent="0.2">
      <c r="B42" s="73" t="s">
        <v>23</v>
      </c>
      <c r="C42" s="146" t="s">
        <v>17</v>
      </c>
      <c r="D42" s="147"/>
      <c r="E42" s="148"/>
      <c r="F42" s="74" t="str">
        <f>IFERROR(IF($G$10="Pracovní dny",NETWORKDAYS($B$41,$B$43),DATEDIF($B$41,$B$43,"d")+1),"-")</f>
        <v>-</v>
      </c>
      <c r="G42" s="75" t="str">
        <f>IFERROR($D$9*2*F42,"-")</f>
        <v>-</v>
      </c>
      <c r="H42" s="78">
        <f>H20</f>
        <v>12.67</v>
      </c>
      <c r="I42" s="77">
        <f>IFERROR(G42*H42,0)</f>
        <v>0</v>
      </c>
    </row>
    <row ht="16.5" r="43" spans="2:9" thickBot="1" x14ac:dyDescent="0.25">
      <c r="B43" s="73" t="str">
        <f>IF(I23&gt;5000000,EDATE(B41,4)-1,"")</f>
        <v/>
      </c>
      <c r="C43" s="136" t="s">
        <v>18</v>
      </c>
      <c r="D43" s="137"/>
      <c r="E43" s="138"/>
      <c r="F43" s="74" t="str">
        <f>IFERROR(IF($G$10="Pracovní dny",NETWORKDAYS($B$41,$B$43),DATEDIF($B$41,$B$43,"d")+1),"-")</f>
        <v>-</v>
      </c>
      <c r="G43" s="75" t="str">
        <f>IFERROR($D$11*2*F43,"-")</f>
        <v>-</v>
      </c>
      <c r="H43" s="79">
        <f>H21</f>
        <v>7.45</v>
      </c>
      <c r="I43" s="80">
        <f>IFERROR(G43*H43,0)</f>
        <v>0</v>
      </c>
    </row>
    <row ht="16.5" r="44" spans="2:9" thickBot="1" x14ac:dyDescent="0.3">
      <c r="B44" s="130" t="str">
        <f>IF(I23&gt;5000000,"4. SLEDOVANÉ OBDOBÍ - Provoz dětské skupiny (9. - 12. měsíc)","")</f>
        <v/>
      </c>
      <c r="C44" s="131"/>
      <c r="D44" s="131"/>
      <c r="E44" s="131"/>
      <c r="F44" s="131"/>
      <c r="G44" s="131"/>
      <c r="H44" s="132"/>
      <c r="I44" s="67">
        <f>SUM(I45:I48)</f>
        <v>0</v>
      </c>
    </row>
    <row ht="15.75" r="45" spans="2:9" x14ac:dyDescent="0.2">
      <c r="B45" s="81"/>
      <c r="C45" s="155" t="s">
        <v>15</v>
      </c>
      <c r="D45" s="156"/>
      <c r="E45" s="157"/>
      <c r="F45" s="82" t="str">
        <f>IFERROR(IF($G$10="Pracovní dny",NETWORKDAYS($B$46,$B$48),DATEDIF($B$46,$B$48,"d")+1),"-")</f>
        <v>-</v>
      </c>
      <c r="G45" s="83" t="str">
        <f>IFERROR($D$8*2*F45,"-")</f>
        <v>-</v>
      </c>
      <c r="H45" s="84">
        <f>H18</f>
        <v>278.2</v>
      </c>
      <c r="I45" s="85">
        <f>IFERROR(G45*H45,0)</f>
        <v>0</v>
      </c>
    </row>
    <row ht="15.75" r="46" spans="2:9" x14ac:dyDescent="0.2">
      <c r="B46" s="86" t="str">
        <f>IF(I23&gt;5000000,B43+1,"")</f>
        <v/>
      </c>
      <c r="C46" s="146" t="s">
        <v>16</v>
      </c>
      <c r="D46" s="147"/>
      <c r="E46" s="149"/>
      <c r="F46" s="87" t="str">
        <f>IFERROR(IF($G$10="Pracovní dny",NETWORKDAYS($B$46,$B$48),DATEDIF($B$46,$B$48,"d")+1),"-")</f>
        <v>-</v>
      </c>
      <c r="G46" s="88" t="str">
        <f>IFERROR($D$10*2*F46,"-")</f>
        <v>-</v>
      </c>
      <c r="H46" s="89">
        <f>H19</f>
        <v>163.65</v>
      </c>
      <c r="I46" s="90">
        <f>IFERROR(G46*H46,0)</f>
        <v>0</v>
      </c>
    </row>
    <row ht="15.75" r="47" spans="2:9" x14ac:dyDescent="0.2">
      <c r="B47" s="91" t="s">
        <v>23</v>
      </c>
      <c r="C47" s="146" t="s">
        <v>17</v>
      </c>
      <c r="D47" s="147"/>
      <c r="E47" s="149"/>
      <c r="F47" s="87" t="str">
        <f>IFERROR(IF($G$10="Pracovní dny",NETWORKDAYS($B$46,$B$48),DATEDIF($B$46,$B$48,"d")+1),"-")</f>
        <v>-</v>
      </c>
      <c r="G47" s="88" t="str">
        <f>IFERROR($D$9*2*F47,"-")</f>
        <v>-</v>
      </c>
      <c r="H47" s="89">
        <f>H20</f>
        <v>12.67</v>
      </c>
      <c r="I47" s="90">
        <f>IFERROR(G47*H47,0)</f>
        <v>0</v>
      </c>
    </row>
    <row ht="16.5" r="48" spans="2:9" thickBot="1" x14ac:dyDescent="0.25">
      <c r="B48" s="92" t="str">
        <f>IF(I23&gt;5000000,EDATE(B46,4)-1,"")</f>
        <v/>
      </c>
      <c r="C48" s="133" t="s">
        <v>18</v>
      </c>
      <c r="D48" s="134"/>
      <c r="E48" s="135"/>
      <c r="F48" s="93" t="str">
        <f>IFERROR(IF($G$10="Pracovní dny",NETWORKDAYS($B$46,$B$48),DATEDIF($B$46,$B$48,"d")+1),"-")</f>
        <v>-</v>
      </c>
      <c r="G48" s="94" t="str">
        <f>IFERROR($D$11*2*F48,"-")</f>
        <v>-</v>
      </c>
      <c r="H48" s="95">
        <f>H21</f>
        <v>7.45</v>
      </c>
      <c r="I48" s="96">
        <f>IFERROR(G48*H48,0)</f>
        <v>0</v>
      </c>
    </row>
    <row ht="16.5" r="49" spans="2:9" thickBot="1" x14ac:dyDescent="0.3">
      <c r="B49" s="130" t="s">
        <v>89</v>
      </c>
      <c r="C49" s="131"/>
      <c r="D49" s="131"/>
      <c r="E49" s="131"/>
      <c r="F49" s="131"/>
      <c r="G49" s="131"/>
      <c r="H49" s="132"/>
      <c r="I49" s="97">
        <f>I22</f>
        <v>0</v>
      </c>
    </row>
    <row ht="16.5" r="50" spans="2:9" thickBot="1" x14ac:dyDescent="0.3">
      <c r="B50" s="198" t="s">
        <v>39</v>
      </c>
      <c r="C50" s="199"/>
      <c r="D50" s="199"/>
      <c r="E50" s="199"/>
      <c r="F50" s="199"/>
      <c r="G50" s="199"/>
      <c r="H50" s="200"/>
      <c r="I50" s="98">
        <f>SUM(I28,I34,I39,I44,I49)</f>
        <v>0</v>
      </c>
    </row>
    <row ht="18" r="51" spans="2:9" x14ac:dyDescent="0.25">
      <c r="B51" s="99"/>
      <c r="C51" s="99"/>
      <c r="D51" s="99"/>
      <c r="E51" s="99"/>
      <c r="F51" s="99"/>
      <c r="G51" s="99"/>
      <c r="H51" s="99"/>
      <c r="I51" s="100"/>
    </row>
    <row ht="15" r="52" spans="2:9" thickBot="1" x14ac:dyDescent="0.25"/>
    <row ht="17.25" r="53" spans="2:9" thickBot="1" x14ac:dyDescent="0.3">
      <c r="F53" s="195" t="s">
        <v>56</v>
      </c>
      <c r="G53" s="196"/>
      <c r="H53" s="196"/>
      <c r="I53" s="197"/>
    </row>
    <row ht="17.25" r="54" spans="2:9" thickBot="1" x14ac:dyDescent="0.3">
      <c r="F54" s="191" t="s">
        <v>50</v>
      </c>
      <c r="G54" s="192"/>
      <c r="H54" s="101" t="str">
        <f>IFERROR(VLOOKUP($D$6,'Pomocný list'!I2:J11,2,FALSE),"")</f>
        <v/>
      </c>
      <c r="I54" s="102">
        <f>IFERROR($I$50*H54,0)</f>
        <v>0</v>
      </c>
    </row>
    <row ht="16.5" r="55" spans="2:9" x14ac:dyDescent="0.25">
      <c r="F55" s="193" t="s">
        <v>54</v>
      </c>
      <c r="G55" s="194"/>
      <c r="H55" s="103" t="str">
        <f>IF(D6="","",'Pomocný list'!$B$13)</f>
        <v/>
      </c>
      <c r="I55" s="104">
        <f>IFERROR($I$50*H55,0)</f>
        <v>0</v>
      </c>
    </row>
    <row ht="17.25" r="56" spans="2:9" thickBot="1" x14ac:dyDescent="0.3">
      <c r="F56" s="189" t="s">
        <v>55</v>
      </c>
      <c r="G56" s="190"/>
      <c r="H56" s="105" t="str">
        <f>IF(D6="","",1-SUM(H54:H55))</f>
        <v/>
      </c>
      <c r="I56" s="106">
        <f>IFERROR($I$50*H56,0)</f>
        <v>0</v>
      </c>
    </row>
    <row ht="17.25" r="57" spans="2:9" thickBot="1" x14ac:dyDescent="0.3">
      <c r="F57" s="187" t="s">
        <v>51</v>
      </c>
      <c r="G57" s="188"/>
      <c r="H57" s="107" t="str">
        <f>IF(D6="","",SUM(H55:H56))</f>
        <v/>
      </c>
      <c r="I57" s="108">
        <f>IFERROR(SUM(I55:I56),0)</f>
        <v>0</v>
      </c>
    </row>
    <row ht="17.25" r="58" spans="2:9" thickBot="1" x14ac:dyDescent="0.3">
      <c r="F58" s="185" t="s">
        <v>39</v>
      </c>
      <c r="G58" s="186"/>
      <c r="H58" s="109" t="str">
        <f>IFERROR(H54+H57,"")</f>
        <v/>
      </c>
      <c r="I58" s="110">
        <f>I54+I57</f>
        <v>0</v>
      </c>
    </row>
  </sheetData>
  <sheetProtection algorithmName="SHA-512" hashValue="+tkqi9SGpfmPj3nr5kX6HivrmpkzK3BVFLpMChwdv0TSB1wuIL78X4e2RsTsruziPbtmJmpGJ5mWRaPwuQ3Xpg==" objects="1" saltValue="ZodgNE+0F3xWfKxGz8OtNg==" scenarios="1" sheet="1" spinCount="100000"/>
  <mergeCells count="49">
    <mergeCell ref="F58:G58"/>
    <mergeCell ref="B44:H44"/>
    <mergeCell ref="C45:E45"/>
    <mergeCell ref="C46:E46"/>
    <mergeCell ref="C47:E47"/>
    <mergeCell ref="F57:G57"/>
    <mergeCell ref="F56:G56"/>
    <mergeCell ref="F54:G54"/>
    <mergeCell ref="F55:G55"/>
    <mergeCell ref="F53:I53"/>
    <mergeCell ref="B50:H50"/>
    <mergeCell ref="B49:H49"/>
    <mergeCell ref="C29:E29"/>
    <mergeCell ref="B2:H3"/>
    <mergeCell ref="B5:C5"/>
    <mergeCell ref="D21:F21"/>
    <mergeCell ref="B17:C17"/>
    <mergeCell ref="D17:F17"/>
    <mergeCell ref="B8:B9"/>
    <mergeCell ref="B10:B11"/>
    <mergeCell ref="B16:C16"/>
    <mergeCell ref="D16:F16"/>
    <mergeCell ref="B18:C21"/>
    <mergeCell ref="B14:D14"/>
    <mergeCell ref="D18:F18"/>
    <mergeCell ref="D19:F19"/>
    <mergeCell ref="D20:F20"/>
    <mergeCell ref="C35:E35"/>
    <mergeCell ref="C36:E36"/>
    <mergeCell ref="C30:E30"/>
    <mergeCell ref="C31:E31"/>
    <mergeCell ref="C32:E32"/>
    <mergeCell ref="C33:E33"/>
    <mergeCell ref="J17:Q23"/>
    <mergeCell ref="B28:H28"/>
    <mergeCell ref="B34:H34"/>
    <mergeCell ref="C48:E48"/>
    <mergeCell ref="C43:E43"/>
    <mergeCell ref="B39:H39"/>
    <mergeCell ref="C40:E40"/>
    <mergeCell ref="B25:E25"/>
    <mergeCell ref="D22:F22"/>
    <mergeCell ref="B23:H23"/>
    <mergeCell ref="C41:E41"/>
    <mergeCell ref="C42:E42"/>
    <mergeCell ref="C37:E37"/>
    <mergeCell ref="C38:E38"/>
    <mergeCell ref="B22:C22"/>
    <mergeCell ref="C27:E27"/>
  </mergeCells>
  <conditionalFormatting sqref="E9">
    <cfRule dxfId="22" operator="containsText" priority="17" text="CHYBA" type="containsText">
      <formula>NOT(ISERROR(SEARCH("CHYBA",E9)))</formula>
    </cfRule>
  </conditionalFormatting>
  <conditionalFormatting sqref="E8">
    <cfRule dxfId="21" operator="containsText" priority="12" text="CHYBA" type="containsText">
      <formula>NOT(ISERROR(SEARCH("CHYBA",E8)))</formula>
    </cfRule>
  </conditionalFormatting>
  <conditionalFormatting sqref="E10">
    <cfRule dxfId="20" operator="containsText" priority="11" text="CHYBA" type="containsText">
      <formula>NOT(ISERROR(SEARCH("CHYBA",E10)))</formula>
    </cfRule>
  </conditionalFormatting>
  <conditionalFormatting sqref="E11:E12">
    <cfRule dxfId="19" operator="containsText" priority="10" text="CHYBA" type="containsText">
      <formula>NOT(ISERROR(SEARCH("CHYBA",E11)))</formula>
    </cfRule>
  </conditionalFormatting>
  <conditionalFormatting sqref="H10">
    <cfRule dxfId="18" operator="containsText" priority="5" text="Provoz vč. víkendů" type="containsText">
      <formula>NOT(ISERROR(SEARCH("Provoz vč. víkendů",H10)))</formula>
    </cfRule>
  </conditionalFormatting>
  <conditionalFormatting sqref="E6:E12">
    <cfRule dxfId="17" operator="containsText" priority="8" text="vyplňte" type="containsText">
      <formula>NOT(ISERROR(SEARCH("vyplňte",E6)))</formula>
    </cfRule>
  </conditionalFormatting>
  <conditionalFormatting sqref="H6:H12">
    <cfRule dxfId="16" operator="containsText" priority="7" text="vyplňte" type="containsText">
      <formula>NOT(ISERROR(SEARCH("vyplňte",H6)))</formula>
    </cfRule>
  </conditionalFormatting>
  <conditionalFormatting sqref="H6">
    <cfRule dxfId="15" operator="containsText" priority="2" text="datum zahájení" type="containsText">
      <formula>NOT(ISERROR(SEARCH("datum zahájení",H6)))</formula>
    </cfRule>
  </conditionalFormatting>
  <conditionalFormatting sqref="H8">
    <cfRule dxfId="14" operator="containsText" priority="1" text="překročen" type="containsText">
      <formula>NOT(ISERROR(SEARCH("překročen",H8)))</formula>
    </cfRule>
  </conditionalFormatting>
  <dataValidations count="6" xWindow="830" yWindow="526">
    <dataValidation allowBlank="1" error="Zadané datum nespadá do povoleného časového rozmezí. Délka fáze vytvoření DS nesmí přesáhnout 12 měsíců. Ujistěte se, že je datum zadáno ve formátu DD.MM.RRRR" errorTitle="Chybné datum zahájení provozu" prompt="Aktivita &quot;Provoz dětské skupiny&quot; navazuje na aktivitu &quot;Vytvoření dětské skupiny&quot;. Doporučujeme zahájit provoz k 1. dni kalendářního měsíce." promptTitle="Vyplňte datum zahájení provozu" showErrorMessage="1" showInputMessage="1" sqref="G7" type="date" xr:uid="{9F2E7C9E-7B08-40F7-9BFD-65B00705A1D1}">
      <formula1>G6+1</formula1>
      <formula2>EDATE(G6,12)</formula2>
    </dataValidation>
    <dataValidation allowBlank="1" error="Zadané datum nespadá do povoleného časového rozmezí. Ujistěte se, že je datum zadáno ve formátu DD.MM.RRRR" errorTitle="Chybné datum ukončení projektu" showErrorMessage="1" sqref="G8" xr:uid="{C28AD1C2-3989-4AA0-A099-BD4BEA3743C4}"/>
    <dataValidation allowBlank="1" showErrorMessage="1" showInputMessage="1" sqref="G10" type="list" xr:uid="{42295832-CD5B-4898-9A23-7E3DF911F1A0}">
      <formula1>"Pracovní dny,Pracovní dny vč. víkendů"</formula1>
    </dataValidation>
    <dataValidation allowBlank="1" error="Kapacita DS musí být mezi 5 a 24 místy" errorTitle="Nesprávná kapacita" showErrorMessage="1" sqref="E6:E7" xr:uid="{0B90A619-B80E-4723-9C4B-4DC4D1482BA2}"/>
    <dataValidation allowBlank="1" operator="equal" showDropDown="1" showErrorMessage="1" showInputMessage="1" sqref="G9" xr:uid="{F7384CCF-38AC-49AD-AB17-853B54FDAC00}"/>
    <dataValidation allowBlank="1" showErrorMessage="1" sqref="D12" type="list" xr:uid="{D8AEAF8D-BBD5-4039-82DB-F3C38E76F78E}">
      <formula1>"Mám nárok na odpočet DPH,Nemám nárok na odpočet DPH"</formula1>
    </dataValidation>
  </dataValidations>
  <pageMargins bottom="0.78740157499999996" footer="0.3" header="0.3" left="0.7" right="0.7" top="0.78740157499999996"/>
  <pageSetup fitToHeight="0" orientation="landscape" paperSize="9" r:id="rId1" scale="79"/>
  <rowBreaks count="1" manualBreakCount="1">
    <brk id="12" man="1" max="16383"/>
  </rowBreaks>
  <ignoredErrors>
    <ignoredError formula="1" sqref="I34 E9 H10"/>
  </ignoredErrors>
  <drawing r:id="rId2"/>
  <legacyDrawing r:id="rId3"/>
  <extLst>
    <ext uri="{CCE6A557-97BC-4b89-ADB6-D9C93CAAB3DF}">
      <x14:dataValidations xmlns:xm="http://schemas.microsoft.com/office/excel/2006/main" count="8" xWindow="830" yWindow="526">
        <x14:dataValidation allowBlank="1" error="Kapacita DS musí být mezi 5 a 24 místy" errorTitle="Nesprávná kapacita" prompt="Vyplňte plánovanou kapacitu DS" promptTitle="Kapacita" showErrorMessage="1" showInputMessage="1" type="list" xr:uid="{3381F5FE-B795-440E-BA2B-544514EB24B7}">
          <x14:formula1>
            <xm:f>'Pomocný list'!$D$21:$D$40</xm:f>
          </x14:formula1>
          <xm:sqref>D7</xm:sqref>
        </x14:dataValidation>
        <x14:dataValidation allowBlank="1" errorTitle="Přiliš mnoho zadaných půldnů" prompt="Při čerpání příspěvku na stravné je nutné kompletní stravu zajišťovat poskytovatelem a řídit se výživovými normami." promptTitle="Starší děti - stravné" showErrorMessage="1" showInputMessage="1" type="list" xr:uid="{472C8FAD-F162-4C7C-9117-9A5A584DFCAA}">
          <x14:formula1>
            <xm:f>'Pomocný list'!$D$16:$D$40</xm:f>
          </x14:formula1>
          <xm:sqref>D11</xm:sqref>
        </x14:dataValidation>
        <x14:dataValidation allowBlank="1" errorTitle="Příliš mnoho zadaných půldnů" prompt="Při čerpání příspěvku na stravné je nutné kompletní stravu zajišťovat poskytovatelem a řídit se výživovými normami." promptTitle="Mladší děti - stravné" showErrorMessage="1" showInputMessage="1" type="list" xr:uid="{297C2F84-6CB2-437F-894B-3709D478D90B}">
          <x14:formula1>
            <xm:f>'Pomocný list'!$D$16:$D$40</xm:f>
          </x14:formula1>
          <xm:sqref>D9</xm:sqref>
        </x14:dataValidation>
        <x14:dataValidation allowBlank="1" errorTitle="Příliš mnoho zadaných půldnů" prompt="Za starší děti se považují děti ve věku od 1. září po dosažení 3. roku věku do zahájení povinné školní docházky" promptTitle="Starší děti - obsazenost" showErrorMessage="1" showInputMessage="1" type="list" xr:uid="{CA485750-DA02-4CA1-ACA1-1042589AF52C}">
          <x14:formula1>
            <xm:f>'Pomocný list'!$D$16:$D$40</xm:f>
          </x14:formula1>
          <xm:sqref>D10</xm:sqref>
        </x14:dataValidation>
        <x14:dataValidation allowBlank="1" errorTitle="Příliš mnoho zadaných půldnů" prompt="Za mladší děti se považují děti ve věku od 6 měsíců do 31. srpna po dosažení 3. roku věku" promptTitle="Mladší děti - obsazenost" showErrorMessage="1" showInputMessage="1" type="list" xr:uid="{5E9E6DB7-457B-4287-8726-282E42A354EA}">
          <x14:formula1>
            <xm:f>'Pomocný list'!$D$16:$D$40</xm:f>
          </x14:formula1>
          <xm:sqref>D8</xm:sqref>
        </x14:dataValidation>
        <x14:dataValidation allowBlank="1" showErrorMessage="1" showInputMessage="1" type="list" xr:uid="{EC07FD4B-238B-48FE-8600-DCBE597660A4}">
          <x14:formula1>
            <xm:f>'Pomocný list'!$I$2:$I$11</xm:f>
          </x14:formula1>
          <xm:sqref>D6</xm:sqref>
        </x14:dataValidation>
        <x14:dataValidation allowBlank="1" error="Na tuto aktivitu lze žádat maximálně 30% z prostředků na aktivitu &quot;Provoz dětské skupiny&quot;." errorTitle="Chyba" prompt="Na tuto aktivitu lze žádat maximálně 15 % z prostředků na aktivitu &quot;Provoz dětské skupiny&quot;. Aktivita je pomocnou komponentou v MS2021+, kterou lze využít pouze v souvislosti s prováděním změn." promptTitle="Navýšení jednotkových nákladů" showErrorMessage="1" showInputMessage="1" type="list" xr:uid="{743402E9-3320-4AB3-8C6B-73A686FE59C7}">
          <x14:formula1>
            <xm:f>'Pomocný list'!$H$31:$H$46</xm:f>
          </x14:formula1>
          <xm:sqref>G12</xm:sqref>
        </x14:dataValidation>
        <x14:dataValidation allowBlank="1" error="Zadané datum nespadá do povoleného časového rozmezí. Datum zahájení realizace projektu nesmí předcházet datu vyhlášení výzvy. Ujistěte se, že je datum zadáno ve formátu DD.MM.RRRR" errorTitle="Chybné datum" prompt="Datum zahájení projektu nesmí předcházet datu vyhlášení výzvy" promptTitle="Vyplňte datum zahájení projektu" showErrorMessage="1" showInputMessage="1" type="date" xr:uid="{E1122C58-AFFF-4DB2-BC82-608963960680}">
          <x14:formula1>
            <xm:f>'Pomocný list'!G18</xm:f>
          </x14:formula1>
          <x14:formula2>
            <xm:f>'Pomocný list'!G20</xm:f>
          </x14:formula2>
          <xm:sqref>G6</xm:sqref>
        </x14:dataValidation>
      </x14:dataValidations>
    </ext>
  </extLst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541C-01BD-41B2-A4FB-4F5179D80000}">
  <dimension ref="B1:P14"/>
  <sheetViews>
    <sheetView showGridLines="0" workbookViewId="0" zoomScale="70" zoomScaleNormal="70">
      <selection activeCell="J20" sqref="J20"/>
    </sheetView>
  </sheetViews>
  <sheetFormatPr defaultRowHeight="15" x14ac:dyDescent="0.25"/>
  <cols>
    <col min="1" max="1" customWidth="true" width="4.42578125" collapsed="false"/>
    <col min="2" max="2" bestFit="true" customWidth="true" width="15.42578125" collapsed="false"/>
    <col min="3" max="3" customWidth="true" width="19.85546875" collapsed="false"/>
    <col min="4" max="4" customWidth="true" width="29.85546875" collapsed="false"/>
    <col min="5" max="5" customWidth="true" width="28.28515625" collapsed="false"/>
    <col min="7" max="7" bestFit="true" customWidth="true" width="15.42578125" collapsed="false"/>
    <col min="8" max="8" customWidth="true" width="20.28515625" collapsed="false"/>
    <col min="9" max="9" customWidth="true" width="32.85546875" collapsed="false"/>
    <col min="10" max="10" customWidth="true" width="29.28515625" collapsed="false"/>
  </cols>
  <sheetData>
    <row ht="15.75" r="1" spans="2:16" thickBot="1" x14ac:dyDescent="0.3"/>
    <row customHeight="1" ht="47.25" r="2" spans="2:16" x14ac:dyDescent="0.25">
      <c r="B2" s="207" t="str">
        <f>IF(B13="EX POST","Struktura finančního plánu v žádosti o podporu - projekty financované ex post","Struktura finančního plánu v žádosti o podporu - projekty s CZV do 5 mil. Kč")</f>
        <v>Struktura finančního plánu v žádosti o podporu - projekty s CZV do 5 mil. Kč</v>
      </c>
      <c r="C2" s="208"/>
      <c r="D2" s="208"/>
      <c r="E2" s="209"/>
      <c r="G2" s="207" t="str">
        <f>IF(B13="EX POST","Struktura finančního plánu v žádosti o podporu - projekty s CZV nad 5 mil. Kč (ex ante)","Struktura finančního plánu v žádosti o podporu - projekty s CZV nad 5 mil. Kč")</f>
        <v>Struktura finančního plánu v žádosti o podporu - projekty s CZV nad 5 mil. Kč</v>
      </c>
      <c r="H2" s="208"/>
      <c r="I2" s="208"/>
      <c r="J2" s="209"/>
    </row>
    <row r="3" spans="2:16" x14ac:dyDescent="0.25">
      <c r="B3" s="6" t="s">
        <v>74</v>
      </c>
      <c r="C3" s="17" t="s">
        <v>73</v>
      </c>
      <c r="D3" s="7" t="s">
        <v>70</v>
      </c>
      <c r="E3" s="8" t="s">
        <v>71</v>
      </c>
      <c r="G3" s="6" t="s">
        <v>74</v>
      </c>
      <c r="H3" s="17" t="s">
        <v>73</v>
      </c>
      <c r="I3" s="7" t="s">
        <v>70</v>
      </c>
      <c r="J3" s="8" t="s">
        <v>71</v>
      </c>
    </row>
    <row r="4" spans="2:16" x14ac:dyDescent="0.25">
      <c r="B4" s="9">
        <f>IF(B13="ANO","-",1)</f>
        <v>1</v>
      </c>
      <c r="C4" s="20" t="str">
        <f>IF(B13="EX POST","-",IF(Kalkulačka!G6="","",EDATE(Kalkulačka!G6,1)))</f>
        <v/>
      </c>
      <c r="D4" s="12">
        <f>IF(B13="EX POST",0,Kalkulačka!I23)</f>
        <v>0</v>
      </c>
      <c r="E4" s="13">
        <v>0</v>
      </c>
      <c r="G4" s="9">
        <v>1</v>
      </c>
      <c r="H4" s="20" t="str">
        <f>IF(Kalkulačka!G6="","",EDATE(Kalkulačka!G6,1))</f>
        <v/>
      </c>
      <c r="I4" s="12">
        <f>IFERROR(ROUNDDOWN(Kalkulačka!I23*0.3,2),0)</f>
        <v>0</v>
      </c>
      <c r="J4" s="13">
        <v>0</v>
      </c>
    </row>
    <row r="5" spans="2:16" x14ac:dyDescent="0.25">
      <c r="B5" s="9">
        <f>IF(B13="ANO",1,2)</f>
        <v>2</v>
      </c>
      <c r="C5" s="20" t="str">
        <f>Kalkulačka!B36</f>
        <v/>
      </c>
      <c r="D5" s="12">
        <v>0</v>
      </c>
      <c r="E5" s="13">
        <f>Kalkulačka!I29+SUM(Kalkulačka!I30:I33)</f>
        <v>0</v>
      </c>
      <c r="G5" s="9">
        <v>2</v>
      </c>
      <c r="H5" s="20" t="str">
        <f>Kalkulačka!B36</f>
        <v/>
      </c>
      <c r="I5" s="12">
        <f>J5</f>
        <v>0</v>
      </c>
      <c r="J5" s="13">
        <f>Kalkulačka!I29+SUM(Kalkulačka!I30:I33)</f>
        <v>0</v>
      </c>
    </row>
    <row ht="15.75" r="6" spans="2:16" thickBot="1" x14ac:dyDescent="0.3">
      <c r="B6" s="9">
        <f>IF(B13="ANO",2,3)</f>
        <v>3</v>
      </c>
      <c r="C6" s="20" t="str">
        <f>Kalkulačka!G8</f>
        <v/>
      </c>
      <c r="D6" s="12">
        <v>0</v>
      </c>
      <c r="E6" s="13">
        <f>Kalkulačka!I23-'Finanční plán'!E5</f>
        <v>0</v>
      </c>
      <c r="G6" s="9">
        <v>3</v>
      </c>
      <c r="H6" s="20" t="str">
        <f>Kalkulačka!B41</f>
        <v/>
      </c>
      <c r="I6" s="12">
        <f>J6</f>
        <v>0</v>
      </c>
      <c r="J6" s="13">
        <f>Kalkulačka!I34</f>
        <v>0</v>
      </c>
    </row>
    <row ht="15.75" r="7" spans="2:16" thickTop="1" x14ac:dyDescent="0.25">
      <c r="B7" s="10" t="s">
        <v>25</v>
      </c>
      <c r="C7" s="18"/>
      <c r="D7" s="14">
        <f>SUM(D4:D6)</f>
        <v>0</v>
      </c>
      <c r="E7" s="15">
        <f>SUM(E4:E6)</f>
        <v>0</v>
      </c>
      <c r="G7" s="9">
        <v>4</v>
      </c>
      <c r="H7" s="20" t="str">
        <f>Kalkulačka!B46</f>
        <v/>
      </c>
      <c r="I7" s="12">
        <f>IFERROR(Kalkulačka!I23-SUM('Finanční plán'!I4:I6),0)</f>
        <v>0</v>
      </c>
      <c r="J7" s="13">
        <f>Kalkulačka!I39+(ROUNDUP(Kalkulačka!$I$22/2,2))</f>
        <v>0</v>
      </c>
      <c r="K7" s="205" t="str">
        <f>IF(AND(B13&lt;&gt;"EX POST",J9&gt;5000000),"*Poslední řádek finančního plánu nemusí vždy přesně odpovídat částce v MS2021+ (myšleno na haléře). Upravte v MS2021+ tak, aby součet všech řádků finančního plánu odpovídal celkovým způsobilým výdajům projektu.","")</f>
        <v/>
      </c>
      <c r="L7" s="206"/>
      <c r="M7" s="206"/>
      <c r="N7" s="206"/>
      <c r="O7" s="206"/>
      <c r="P7" s="206"/>
    </row>
    <row customHeight="1" ht="15.75" r="8" spans="2:16" thickBot="1" x14ac:dyDescent="0.3">
      <c r="B8" s="11" t="s">
        <v>19</v>
      </c>
      <c r="C8" s="19"/>
      <c r="D8" s="210" t="str">
        <f>IF(AND(E7=Kalkulačka!$I$23,D7=Kalkulačka!$I$23),"Finanční plán je v pořádku.",IF(B13="EX POST","Finanční plán je v pořádku","Chyba ve finančním plánu. Zkontrolujte částky."))</f>
        <v>Finanční plán je v pořádku.</v>
      </c>
      <c r="E8" s="211"/>
      <c r="G8" s="9">
        <v>5</v>
      </c>
      <c r="H8" s="20" t="str">
        <f>Kalkulačka!G8</f>
        <v/>
      </c>
      <c r="I8" s="12">
        <v>0</v>
      </c>
      <c r="J8" s="13">
        <f>Kalkulačka!I23-SUM('Finanční plán'!J4:J7)</f>
        <v>0</v>
      </c>
      <c r="K8" s="205"/>
      <c r="L8" s="206"/>
      <c r="M8" s="206"/>
      <c r="N8" s="206"/>
      <c r="O8" s="206"/>
      <c r="P8" s="206"/>
    </row>
    <row ht="15.75" r="9" spans="2:16" thickTop="1" x14ac:dyDescent="0.25">
      <c r="G9" s="10" t="s">
        <v>25</v>
      </c>
      <c r="H9" s="18"/>
      <c r="I9" s="14">
        <f>SUM(I4:I8)</f>
        <v>0</v>
      </c>
      <c r="J9" s="15">
        <f>SUM(J4:J8)</f>
        <v>0</v>
      </c>
      <c r="K9" s="205"/>
      <c r="L9" s="206"/>
      <c r="M9" s="206"/>
      <c r="N9" s="206"/>
      <c r="O9" s="206"/>
      <c r="P9" s="206"/>
    </row>
    <row ht="15.75" r="10" spans="2:16" thickBot="1" x14ac:dyDescent="0.3">
      <c r="G10" s="11" t="s">
        <v>19</v>
      </c>
      <c r="H10" s="19"/>
      <c r="I10" s="210" t="str">
        <f>IF(AND(J9=Kalkulačka!$I$23,I9=Kalkulačka!$I$23),"Finanční plán je v pořádku.","Chyba ve finančním plánu. Zkontrolujte částky.")</f>
        <v>Finanční plán je v pořádku.</v>
      </c>
      <c r="J10" s="211"/>
      <c r="K10" s="205"/>
      <c r="L10" s="206"/>
      <c r="M10" s="206"/>
      <c r="N10" s="206"/>
      <c r="O10" s="206"/>
      <c r="P10" s="206"/>
    </row>
    <row ht="15.75" r="11" spans="2:16" thickBot="1" x14ac:dyDescent="0.3"/>
    <row ht="15.75" r="12" spans="2:16" x14ac:dyDescent="0.25">
      <c r="B12" s="201" t="s">
        <v>77</v>
      </c>
      <c r="C12" s="202"/>
    </row>
    <row ht="16.5" r="13" spans="2:16" thickBot="1" x14ac:dyDescent="0.3">
      <c r="B13" s="203" t="s">
        <v>75</v>
      </c>
      <c r="C13" s="204"/>
    </row>
    <row r="14" spans="2:16" x14ac:dyDescent="0.25">
      <c r="J14" s="113"/>
    </row>
  </sheetData>
  <sheetProtection algorithmName="SHA-512" hashValue="OWOXgH/RGWZZBSECU/SBfVyJlaLjwbyZzeLTGkcAvC/OhlPY/H1iqJ6uMWCkLF+7Ay4uleMoz2RGxIQeMzcUiA==" objects="1" saltValue="1kFlt0td2x+uzKgPWnllJw==" scenarios="1" sheet="1" spinCount="100000"/>
  <mergeCells count="7">
    <mergeCell ref="B12:C12"/>
    <mergeCell ref="B13:C13"/>
    <mergeCell ref="K7:P10"/>
    <mergeCell ref="B2:E2"/>
    <mergeCell ref="D8:E8"/>
    <mergeCell ref="G2:J2"/>
    <mergeCell ref="I10:J10"/>
  </mergeCells>
  <conditionalFormatting sqref="D8:E8">
    <cfRule dxfId="13" operator="containsText" priority="6" text="v pořádku" type="containsText">
      <formula>NOT(ISERROR(SEARCH("v pořádku",D8)))</formula>
    </cfRule>
    <cfRule dxfId="12" operator="containsText" priority="7" text="Chyba" type="containsText">
      <formula>NOT(ISERROR(SEARCH("Chyba",D8)))</formula>
    </cfRule>
    <cfRule dxfId="11" operator="containsText" priority="8" text="Finanční plán není v pořádku" type="containsText">
      <formula>NOT(ISERROR(SEARCH("Finanční plán není v pořádku",D8)))</formula>
    </cfRule>
  </conditionalFormatting>
  <conditionalFormatting sqref="I10:J10">
    <cfRule dxfId="10" operator="containsText" priority="3" text="v pořádku" type="containsText">
      <formula>NOT(ISERROR(SEARCH("v pořádku",I10)))</formula>
    </cfRule>
    <cfRule dxfId="9" operator="containsText" priority="4" text="Chyba" type="containsText">
      <formula>NOT(ISERROR(SEARCH("Chyba",I10)))</formula>
    </cfRule>
    <cfRule dxfId="8" operator="containsText" priority="5" text="Finanční plán není v pořádku" type="containsText">
      <formula>NOT(ISERROR(SEARCH("Finanční plán není v pořádku",I10)))</formula>
    </cfRule>
  </conditionalFormatting>
  <dataValidations count="2">
    <dataValidation allowBlank="1" prompt="Jako projekty s ex post financováním jsou v MS2021+ evidovány všechny projekty organizačních složek státu a státních příspěvkových organizací (s výjimkou SPO, jejichž zřizovatelem je MPSV - ty jsou evidovány jako projekty s ex ante financováním)." promptTitle="Projekty s ex post financováním" showErrorMessage="1" showInputMessage="1" sqref="D13" type="list" xr:uid="{3B9BFC0D-D94B-4427-A846-3FD01A479480}">
      <formula1>"ANO,NE"</formula1>
    </dataValidation>
    <dataValidation allowBlank="1" prompt="V případě, že je žadatelem organizační složka státu nebo státní příspěvková organizace (s výjimkou SPO, jejichž zřizovatelem je MPSV), vyberte variantu EX POST. Všechny ostatní subjekty jsou financované v režimu EX ANTE." promptTitle="Režim financování" showErrorMessage="1" showInputMessage="1" sqref="B13:C13" type="list" xr:uid="{2C4F49D3-B5D6-4A49-8D44-9BA405E0C1DF}">
      <formula1>"EX ANTE,EX POST"</formula1>
    </dataValidation>
  </dataValidations>
  <pageMargins bottom="0.78740157499999996" footer="0.3" header="0.3" left="0.7" right="0.7" top="0.78740157499999996"/>
  <pageSetup orientation="portrait" paperSize="9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id="{968D5742-42D1-4C55-993A-C99FF49C3313}" priority="2" type="expression">
            <xm:f>AND(Kalkulačka!$I$23&gt;5000000,$B$13&lt;&gt;"EX POST")</xm:f>
            <x14:dxf>
              <font>
                <b val="0"/>
                <i/>
                <strike/>
                <color theme="0" tint="-0.34998626667073579"/>
              </font>
            </x14:dxf>
          </x14:cfRule>
          <xm:sqref>B2:E8</xm:sqref>
        </x14:conditionalFormatting>
        <x14:conditionalFormatting xmlns:xm="http://schemas.microsoft.com/office/excel/2006/main">
          <x14:cfRule id="{96A285DF-7DB8-4AB4-A7EA-900C2EC6B49E}" priority="1" type="expression">
            <xm:f>OR(Kalkulačka!$I$23&lt;=5000000,$B$13="EX POST")</xm:f>
            <x14:dxf>
              <font>
                <b val="0"/>
                <i/>
                <strike/>
                <color theme="0" tint="-0.34998626667073579"/>
              </font>
            </x14:dxf>
          </x14:cfRule>
          <xm:sqref>G1:J1048576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4B8C5-B9A1-4DBB-829D-629AB545F432}">
  <dimension ref="A2:J121"/>
  <sheetViews>
    <sheetView workbookViewId="0" zoomScale="70" zoomScaleNormal="70">
      <selection activeCell="A2" sqref="A2"/>
    </sheetView>
  </sheetViews>
  <sheetFormatPr defaultColWidth="8.7109375" defaultRowHeight="14.25" x14ac:dyDescent="0.2"/>
  <cols>
    <col min="1" max="1" bestFit="true" customWidth="true" style="2" width="50.5703125" collapsed="false"/>
    <col min="2" max="2" customWidth="true" style="2" width="34.0" collapsed="false"/>
    <col min="3" max="3" customWidth="true" style="2" width="35.5703125" collapsed="false"/>
    <col min="4" max="4" customWidth="true" style="2" width="60.42578125" collapsed="false"/>
    <col min="5" max="5" customWidth="true" style="2" width="34.140625" collapsed="false"/>
    <col min="6" max="6" style="2" width="8.7109375" collapsed="false"/>
    <col min="7" max="7" customWidth="true" style="2" width="26.28515625" collapsed="false"/>
    <col min="8" max="8" customWidth="true" style="2" width="10.85546875" collapsed="false"/>
    <col min="9" max="9" customWidth="true" style="112" width="78.5703125" collapsed="false"/>
    <col min="10" max="10" customWidth="true" style="2" width="17.28515625" collapsed="false"/>
    <col min="11" max="16384" style="2" width="8.7109375" collapsed="false"/>
  </cols>
  <sheetData>
    <row ht="22.5" r="2" spans="1:10" x14ac:dyDescent="0.2">
      <c r="A2" s="123" t="s">
        <v>84</v>
      </c>
      <c r="D2" s="1" t="s">
        <v>14</v>
      </c>
      <c r="E2" s="122" t="s">
        <v>78</v>
      </c>
      <c r="I2" s="124" t="s">
        <v>44</v>
      </c>
      <c r="J2" s="125">
        <v>0</v>
      </c>
    </row>
    <row ht="22.5" r="3" spans="1:10" x14ac:dyDescent="0.2">
      <c r="D3" s="3" t="s">
        <v>15</v>
      </c>
      <c r="E3" s="121">
        <v>278.2</v>
      </c>
      <c r="I3" s="124" t="s">
        <v>45</v>
      </c>
      <c r="J3" s="125">
        <v>0.15</v>
      </c>
    </row>
    <row ht="22.5" r="4" spans="1:10" x14ac:dyDescent="0.2">
      <c r="D4" s="3" t="s">
        <v>16</v>
      </c>
      <c r="E4" s="121">
        <v>163.65</v>
      </c>
      <c r="I4" s="124" t="s">
        <v>52</v>
      </c>
      <c r="J4" s="125">
        <v>0.15</v>
      </c>
    </row>
    <row ht="22.5" r="5" spans="1:10" x14ac:dyDescent="0.2">
      <c r="D5" s="3" t="s">
        <v>17</v>
      </c>
      <c r="E5" s="121">
        <v>12.67</v>
      </c>
      <c r="I5" s="124" t="s">
        <v>53</v>
      </c>
      <c r="J5" s="125">
        <v>0.1</v>
      </c>
    </row>
    <row r="6" spans="1:10" x14ac:dyDescent="0.2">
      <c r="D6" s="3" t="s">
        <v>18</v>
      </c>
      <c r="E6" s="121">
        <v>7.45</v>
      </c>
      <c r="I6" s="124" t="s">
        <v>46</v>
      </c>
      <c r="J6" s="125">
        <v>0.23265</v>
      </c>
    </row>
    <row r="7" spans="1:10" x14ac:dyDescent="0.2">
      <c r="D7" s="3" t="s">
        <v>57</v>
      </c>
      <c r="E7" s="121">
        <v>53913</v>
      </c>
      <c r="I7" s="124" t="s">
        <v>47</v>
      </c>
      <c r="J7" s="125">
        <v>0.05</v>
      </c>
    </row>
    <row ht="22.5" r="8" spans="1:10" x14ac:dyDescent="0.2">
      <c r="D8" s="4" t="s">
        <v>58</v>
      </c>
      <c r="E8" s="121">
        <v>63752</v>
      </c>
      <c r="I8" s="124" t="s">
        <v>48</v>
      </c>
      <c r="J8" s="125">
        <v>0.1</v>
      </c>
    </row>
    <row ht="22.5" r="9" spans="1:10" x14ac:dyDescent="0.2">
      <c r="A9" s="3" t="s">
        <v>35</v>
      </c>
      <c r="B9" s="120">
        <v>46752</v>
      </c>
      <c r="I9" s="124" t="s">
        <v>66</v>
      </c>
      <c r="J9" s="125">
        <v>0.05</v>
      </c>
    </row>
    <row ht="22.5" r="10" spans="1:10" x14ac:dyDescent="0.2">
      <c r="A10" s="3" t="s">
        <v>86</v>
      </c>
      <c r="B10" s="127">
        <f>EDATE(B9,-12)+1</f>
        <v>46388</v>
      </c>
      <c r="I10" s="124" t="s">
        <v>67</v>
      </c>
      <c r="J10" s="125">
        <v>0.05</v>
      </c>
    </row>
    <row ht="22.5" r="11" spans="1:10" x14ac:dyDescent="0.2">
      <c r="I11" s="124" t="s">
        <v>49</v>
      </c>
      <c r="J11" s="125">
        <v>0.23265</v>
      </c>
    </row>
    <row r="12" spans="1:10" x14ac:dyDescent="0.2">
      <c r="A12" s="3" t="s">
        <v>32</v>
      </c>
      <c r="B12" s="3"/>
    </row>
    <row r="13" spans="1:10" x14ac:dyDescent="0.2">
      <c r="A13" s="3" t="s">
        <v>33</v>
      </c>
      <c r="B13" s="5">
        <v>0.76734999999999998</v>
      </c>
      <c r="D13" s="114"/>
    </row>
    <row r="14" spans="1:10" x14ac:dyDescent="0.2">
      <c r="A14" s="3" t="s">
        <v>34</v>
      </c>
      <c r="B14" s="5">
        <v>0.23265</v>
      </c>
      <c r="D14" s="114"/>
    </row>
    <row r="15" spans="1:10" x14ac:dyDescent="0.2">
      <c r="D15" s="114"/>
    </row>
    <row r="16" spans="1:10" x14ac:dyDescent="0.2">
      <c r="D16" s="3">
        <v>0</v>
      </c>
      <c r="E16" s="114"/>
      <c r="H16" s="16"/>
    </row>
    <row r="17" spans="1:8" x14ac:dyDescent="0.2">
      <c r="A17" s="117" t="s">
        <v>79</v>
      </c>
      <c r="B17" s="117" t="s">
        <v>80</v>
      </c>
      <c r="D17" s="3">
        <v>1</v>
      </c>
      <c r="E17" s="114"/>
      <c r="G17" s="3" t="s">
        <v>68</v>
      </c>
      <c r="H17" s="16"/>
    </row>
    <row r="18" spans="1:8" x14ac:dyDescent="0.2">
      <c r="A18" s="115">
        <v>44562</v>
      </c>
      <c r="B18" s="116" t="s">
        <v>1</v>
      </c>
      <c r="D18" s="3">
        <v>2</v>
      </c>
      <c r="E18" s="114"/>
      <c r="G18" s="120">
        <v>45777</v>
      </c>
      <c r="H18" s="16"/>
    </row>
    <row r="19" spans="1:8" x14ac:dyDescent="0.2">
      <c r="A19" s="115">
        <v>44666</v>
      </c>
      <c r="B19" s="116" t="s">
        <v>2</v>
      </c>
      <c r="D19" s="3">
        <v>3</v>
      </c>
      <c r="E19" s="114"/>
      <c r="G19" s="3" t="s">
        <v>82</v>
      </c>
      <c r="H19" s="16" t="s">
        <v>87</v>
      </c>
    </row>
    <row r="20" spans="1:8" x14ac:dyDescent="0.2">
      <c r="A20" s="115">
        <v>44669</v>
      </c>
      <c r="B20" s="116" t="s">
        <v>3</v>
      </c>
      <c r="D20" s="3">
        <v>4</v>
      </c>
      <c r="E20" s="114"/>
      <c r="G20" s="120">
        <v>46143</v>
      </c>
      <c r="H20" s="16"/>
    </row>
    <row r="21" spans="1:8" x14ac:dyDescent="0.2">
      <c r="A21" s="115">
        <v>44682</v>
      </c>
      <c r="B21" s="116" t="s">
        <v>4</v>
      </c>
      <c r="D21" s="3">
        <v>5</v>
      </c>
      <c r="E21" s="114"/>
      <c r="H21" s="16"/>
    </row>
    <row r="22" spans="1:8" x14ac:dyDescent="0.2">
      <c r="A22" s="115">
        <v>44689</v>
      </c>
      <c r="B22" s="116" t="s">
        <v>5</v>
      </c>
      <c r="D22" s="3">
        <v>6</v>
      </c>
      <c r="E22" s="114"/>
      <c r="H22" s="16"/>
    </row>
    <row r="23" spans="1:8" x14ac:dyDescent="0.2">
      <c r="A23" s="115">
        <v>44747</v>
      </c>
      <c r="B23" s="116" t="s">
        <v>6</v>
      </c>
      <c r="D23" s="3">
        <v>7</v>
      </c>
      <c r="E23" s="114"/>
      <c r="H23" s="16"/>
    </row>
    <row r="24" spans="1:8" x14ac:dyDescent="0.2">
      <c r="A24" s="115">
        <v>44748</v>
      </c>
      <c r="B24" s="116" t="s">
        <v>7</v>
      </c>
      <c r="D24" s="3">
        <v>8</v>
      </c>
      <c r="E24" s="114"/>
      <c r="H24" s="16"/>
    </row>
    <row r="25" spans="1:8" x14ac:dyDescent="0.2">
      <c r="A25" s="115">
        <v>44832</v>
      </c>
      <c r="B25" s="116" t="s">
        <v>8</v>
      </c>
      <c r="D25" s="3">
        <v>9</v>
      </c>
      <c r="E25" s="114"/>
      <c r="H25" s="16"/>
    </row>
    <row r="26" spans="1:8" x14ac:dyDescent="0.2">
      <c r="A26" s="115">
        <v>44862</v>
      </c>
      <c r="B26" s="116" t="s">
        <v>9</v>
      </c>
      <c r="D26" s="3">
        <v>10</v>
      </c>
      <c r="E26" s="114"/>
      <c r="H26" s="16"/>
    </row>
    <row r="27" spans="1:8" x14ac:dyDescent="0.2">
      <c r="A27" s="115">
        <v>44882</v>
      </c>
      <c r="B27" s="116" t="s">
        <v>10</v>
      </c>
      <c r="D27" s="3">
        <v>11</v>
      </c>
      <c r="E27" s="114"/>
      <c r="H27" s="16"/>
    </row>
    <row r="28" spans="1:8" x14ac:dyDescent="0.2">
      <c r="A28" s="115">
        <v>44919</v>
      </c>
      <c r="B28" s="116" t="s">
        <v>11</v>
      </c>
      <c r="D28" s="3">
        <v>12</v>
      </c>
      <c r="E28" s="114"/>
      <c r="H28" s="16"/>
    </row>
    <row r="29" spans="1:8" x14ac:dyDescent="0.2">
      <c r="A29" s="115">
        <v>44920</v>
      </c>
      <c r="B29" s="116" t="s">
        <v>12</v>
      </c>
      <c r="D29" s="3">
        <v>13</v>
      </c>
      <c r="E29" s="114"/>
      <c r="H29" s="16"/>
    </row>
    <row r="30" spans="1:8" x14ac:dyDescent="0.2">
      <c r="A30" s="115">
        <v>44921</v>
      </c>
      <c r="B30" s="116" t="s">
        <v>28</v>
      </c>
      <c r="D30" s="3">
        <v>14</v>
      </c>
      <c r="E30" s="114"/>
      <c r="H30" s="16"/>
    </row>
    <row r="31" spans="1:8" x14ac:dyDescent="0.2">
      <c r="A31" s="115">
        <v>44927</v>
      </c>
      <c r="B31" s="116" t="s">
        <v>1</v>
      </c>
      <c r="D31" s="3">
        <v>15</v>
      </c>
      <c r="E31" s="114"/>
      <c r="G31" s="2" t="s">
        <v>83</v>
      </c>
      <c r="H31" s="126">
        <v>0.15</v>
      </c>
    </row>
    <row r="32" spans="1:8" x14ac:dyDescent="0.2">
      <c r="A32" s="115">
        <v>45023</v>
      </c>
      <c r="B32" s="116" t="s">
        <v>2</v>
      </c>
      <c r="D32" s="3">
        <v>16</v>
      </c>
      <c r="E32" s="114"/>
      <c r="G32" s="2" t="s">
        <v>85</v>
      </c>
      <c r="H32" s="126">
        <v>0.14000000000000001</v>
      </c>
    </row>
    <row r="33" spans="1:8" x14ac:dyDescent="0.2">
      <c r="A33" s="115">
        <v>45026</v>
      </c>
      <c r="B33" s="116" t="s">
        <v>3</v>
      </c>
      <c r="D33" s="3">
        <v>17</v>
      </c>
      <c r="E33" s="114"/>
      <c r="H33" s="126">
        <v>0.13</v>
      </c>
    </row>
    <row r="34" spans="1:8" x14ac:dyDescent="0.2">
      <c r="A34" s="115">
        <v>45047</v>
      </c>
      <c r="B34" s="116" t="s">
        <v>4</v>
      </c>
      <c r="D34" s="3">
        <v>18</v>
      </c>
      <c r="E34" s="114"/>
      <c r="H34" s="126">
        <v>0.12</v>
      </c>
    </row>
    <row r="35" spans="1:8" x14ac:dyDescent="0.2">
      <c r="A35" s="115">
        <v>45054</v>
      </c>
      <c r="B35" s="116" t="s">
        <v>5</v>
      </c>
      <c r="D35" s="3">
        <v>19</v>
      </c>
      <c r="E35" s="114"/>
      <c r="H35" s="126">
        <v>0.11</v>
      </c>
    </row>
    <row r="36" spans="1:8" x14ac:dyDescent="0.2">
      <c r="A36" s="115">
        <v>45112</v>
      </c>
      <c r="B36" s="116" t="s">
        <v>6</v>
      </c>
      <c r="D36" s="3">
        <v>20</v>
      </c>
      <c r="E36" s="114"/>
      <c r="H36" s="126">
        <v>0.1</v>
      </c>
    </row>
    <row r="37" spans="1:8" x14ac:dyDescent="0.2">
      <c r="A37" s="115">
        <v>45113</v>
      </c>
      <c r="B37" s="116" t="s">
        <v>7</v>
      </c>
      <c r="D37" s="3">
        <v>21</v>
      </c>
      <c r="E37" s="114"/>
      <c r="H37" s="126">
        <v>0.09</v>
      </c>
    </row>
    <row r="38" spans="1:8" x14ac:dyDescent="0.2">
      <c r="A38" s="115">
        <v>45197</v>
      </c>
      <c r="B38" s="116" t="s">
        <v>8</v>
      </c>
      <c r="D38" s="3">
        <v>22</v>
      </c>
      <c r="E38" s="114"/>
      <c r="H38" s="126">
        <v>0.08</v>
      </c>
    </row>
    <row r="39" spans="1:8" x14ac:dyDescent="0.2">
      <c r="A39" s="115">
        <v>45227</v>
      </c>
      <c r="B39" s="116" t="s">
        <v>9</v>
      </c>
      <c r="D39" s="3">
        <v>23</v>
      </c>
      <c r="E39" s="114"/>
      <c r="H39" s="126">
        <v>7.0000000000000007E-2</v>
      </c>
    </row>
    <row r="40" spans="1:8" x14ac:dyDescent="0.2">
      <c r="A40" s="115">
        <v>45247</v>
      </c>
      <c r="B40" s="116" t="s">
        <v>10</v>
      </c>
      <c r="D40" s="3">
        <v>24</v>
      </c>
      <c r="E40" s="114"/>
      <c r="H40" s="126">
        <v>0.06</v>
      </c>
    </row>
    <row r="41" spans="1:8" x14ac:dyDescent="0.2">
      <c r="A41" s="115">
        <v>45284</v>
      </c>
      <c r="B41" s="116" t="s">
        <v>11</v>
      </c>
      <c r="D41" s="114"/>
      <c r="E41" s="114"/>
      <c r="H41" s="126">
        <v>0.05</v>
      </c>
    </row>
    <row r="42" spans="1:8" x14ac:dyDescent="0.2">
      <c r="A42" s="115">
        <v>45285</v>
      </c>
      <c r="B42" s="116" t="s">
        <v>12</v>
      </c>
      <c r="D42" s="114"/>
      <c r="E42" s="114"/>
      <c r="H42" s="126">
        <v>0.04</v>
      </c>
    </row>
    <row r="43" spans="1:8" x14ac:dyDescent="0.2">
      <c r="A43" s="115">
        <v>45286</v>
      </c>
      <c r="B43" s="116" t="s">
        <v>28</v>
      </c>
      <c r="D43" s="114"/>
      <c r="E43" s="114"/>
      <c r="H43" s="126">
        <v>0.03</v>
      </c>
    </row>
    <row r="44" spans="1:8" x14ac:dyDescent="0.2">
      <c r="A44" s="115">
        <v>45292</v>
      </c>
      <c r="B44" s="116" t="s">
        <v>1</v>
      </c>
      <c r="D44" s="114"/>
      <c r="E44" s="114"/>
      <c r="H44" s="126">
        <v>0.02</v>
      </c>
    </row>
    <row r="45" spans="1:8" x14ac:dyDescent="0.2">
      <c r="A45" s="115">
        <v>45380</v>
      </c>
      <c r="B45" s="116" t="s">
        <v>2</v>
      </c>
      <c r="D45" s="114"/>
      <c r="E45" s="114"/>
      <c r="H45" s="126">
        <v>0.01</v>
      </c>
    </row>
    <row r="46" spans="1:8" x14ac:dyDescent="0.2">
      <c r="A46" s="115">
        <v>45383</v>
      </c>
      <c r="B46" s="116" t="s">
        <v>3</v>
      </c>
      <c r="D46" s="114"/>
      <c r="E46" s="114"/>
      <c r="H46" s="126">
        <v>0</v>
      </c>
    </row>
    <row r="47" spans="1:8" x14ac:dyDescent="0.2">
      <c r="A47" s="115">
        <v>45413</v>
      </c>
      <c r="B47" s="116" t="s">
        <v>4</v>
      </c>
      <c r="D47" s="114"/>
      <c r="E47" s="114"/>
    </row>
    <row r="48" spans="1:8" x14ac:dyDescent="0.2">
      <c r="A48" s="115">
        <v>45420</v>
      </c>
      <c r="B48" s="116" t="s">
        <v>5</v>
      </c>
      <c r="D48" s="114"/>
      <c r="E48" s="114"/>
    </row>
    <row r="49" spans="1:5" x14ac:dyDescent="0.2">
      <c r="A49" s="115">
        <v>45478</v>
      </c>
      <c r="B49" s="116" t="s">
        <v>6</v>
      </c>
      <c r="D49" s="114"/>
      <c r="E49" s="114"/>
    </row>
    <row r="50" spans="1:5" x14ac:dyDescent="0.2">
      <c r="A50" s="115">
        <v>45479</v>
      </c>
      <c r="B50" s="116" t="s">
        <v>7</v>
      </c>
      <c r="D50" s="114"/>
      <c r="E50" s="114"/>
    </row>
    <row r="51" spans="1:5" x14ac:dyDescent="0.2">
      <c r="A51" s="115">
        <v>45563</v>
      </c>
      <c r="B51" s="116" t="s">
        <v>8</v>
      </c>
      <c r="D51" s="114"/>
      <c r="E51" s="114"/>
    </row>
    <row r="52" spans="1:5" x14ac:dyDescent="0.2">
      <c r="A52" s="115">
        <v>45593</v>
      </c>
      <c r="B52" s="116" t="s">
        <v>9</v>
      </c>
      <c r="D52" s="114"/>
      <c r="E52" s="114"/>
    </row>
    <row r="53" spans="1:5" x14ac:dyDescent="0.2">
      <c r="A53" s="115">
        <v>45613</v>
      </c>
      <c r="B53" s="116" t="s">
        <v>10</v>
      </c>
      <c r="D53" s="114"/>
      <c r="E53" s="114"/>
    </row>
    <row r="54" spans="1:5" x14ac:dyDescent="0.2">
      <c r="A54" s="115">
        <v>45650</v>
      </c>
      <c r="B54" s="116" t="s">
        <v>11</v>
      </c>
      <c r="D54" s="114"/>
      <c r="E54" s="114"/>
    </row>
    <row r="55" spans="1:5" x14ac:dyDescent="0.2">
      <c r="A55" s="115">
        <v>45651</v>
      </c>
      <c r="B55" s="116" t="s">
        <v>12</v>
      </c>
      <c r="D55" s="114"/>
      <c r="E55" s="114"/>
    </row>
    <row r="56" spans="1:5" x14ac:dyDescent="0.2">
      <c r="A56" s="115">
        <v>45652</v>
      </c>
      <c r="B56" s="116" t="s">
        <v>28</v>
      </c>
      <c r="D56" s="114"/>
      <c r="E56" s="114"/>
    </row>
    <row r="57" spans="1:5" x14ac:dyDescent="0.2">
      <c r="A57" s="115">
        <v>45658</v>
      </c>
      <c r="B57" s="116" t="s">
        <v>1</v>
      </c>
      <c r="D57" s="114"/>
      <c r="E57" s="114"/>
    </row>
    <row r="58" spans="1:5" x14ac:dyDescent="0.2">
      <c r="A58" s="115">
        <v>45765</v>
      </c>
      <c r="B58" s="116" t="s">
        <v>2</v>
      </c>
      <c r="D58" s="114"/>
      <c r="E58" s="114"/>
    </row>
    <row r="59" spans="1:5" x14ac:dyDescent="0.2">
      <c r="A59" s="115">
        <v>45768</v>
      </c>
      <c r="B59" s="116" t="s">
        <v>3</v>
      </c>
      <c r="D59" s="114"/>
      <c r="E59" s="114"/>
    </row>
    <row r="60" spans="1:5" x14ac:dyDescent="0.2">
      <c r="A60" s="115">
        <v>45778</v>
      </c>
      <c r="B60" s="116" t="s">
        <v>4</v>
      </c>
      <c r="D60" s="114"/>
      <c r="E60" s="114"/>
    </row>
    <row r="61" spans="1:5" x14ac:dyDescent="0.2">
      <c r="A61" s="115">
        <v>45785</v>
      </c>
      <c r="B61" s="116" t="s">
        <v>5</v>
      </c>
      <c r="D61" s="114"/>
      <c r="E61" s="114"/>
    </row>
    <row r="62" spans="1:5" x14ac:dyDescent="0.2">
      <c r="A62" s="115">
        <v>45843</v>
      </c>
      <c r="B62" s="116" t="s">
        <v>6</v>
      </c>
      <c r="D62" s="114"/>
      <c r="E62" s="114"/>
    </row>
    <row r="63" spans="1:5" x14ac:dyDescent="0.2">
      <c r="A63" s="115">
        <v>45844</v>
      </c>
      <c r="B63" s="116" t="s">
        <v>7</v>
      </c>
      <c r="D63" s="114"/>
      <c r="E63" s="114"/>
    </row>
    <row r="64" spans="1:5" x14ac:dyDescent="0.2">
      <c r="A64" s="115">
        <v>45928</v>
      </c>
      <c r="B64" s="116" t="s">
        <v>8</v>
      </c>
      <c r="D64" s="114"/>
      <c r="E64" s="114"/>
    </row>
    <row r="65" spans="1:4" x14ac:dyDescent="0.2">
      <c r="A65" s="115">
        <v>45958</v>
      </c>
      <c r="B65" s="116" t="s">
        <v>9</v>
      </c>
      <c r="D65" s="114"/>
    </row>
    <row r="66" spans="1:4" x14ac:dyDescent="0.2">
      <c r="A66" s="115">
        <v>45978</v>
      </c>
      <c r="B66" s="116" t="s">
        <v>10</v>
      </c>
      <c r="D66" s="114"/>
    </row>
    <row r="67" spans="1:4" x14ac:dyDescent="0.2">
      <c r="A67" s="115">
        <v>46015</v>
      </c>
      <c r="B67" s="116" t="s">
        <v>11</v>
      </c>
      <c r="D67" s="114"/>
    </row>
    <row r="68" spans="1:4" x14ac:dyDescent="0.2">
      <c r="A68" s="115">
        <v>46016</v>
      </c>
      <c r="B68" s="116" t="s">
        <v>12</v>
      </c>
      <c r="D68" s="114"/>
    </row>
    <row r="69" spans="1:4" x14ac:dyDescent="0.2">
      <c r="A69" s="115">
        <v>46017</v>
      </c>
      <c r="B69" s="116" t="s">
        <v>28</v>
      </c>
      <c r="D69" s="114"/>
    </row>
    <row r="70" spans="1:4" x14ac:dyDescent="0.2">
      <c r="A70" s="115">
        <v>46023</v>
      </c>
      <c r="B70" s="116" t="s">
        <v>1</v>
      </c>
      <c r="D70" s="114"/>
    </row>
    <row r="71" spans="1:4" x14ac:dyDescent="0.2">
      <c r="A71" s="115">
        <v>46115</v>
      </c>
      <c r="B71" s="116" t="s">
        <v>2</v>
      </c>
    </row>
    <row r="72" spans="1:4" x14ac:dyDescent="0.2">
      <c r="A72" s="115">
        <v>46118</v>
      </c>
      <c r="B72" s="116" t="s">
        <v>3</v>
      </c>
    </row>
    <row r="73" spans="1:4" x14ac:dyDescent="0.2">
      <c r="A73" s="115">
        <v>46143</v>
      </c>
      <c r="B73" s="116" t="s">
        <v>4</v>
      </c>
    </row>
    <row r="74" spans="1:4" x14ac:dyDescent="0.2">
      <c r="A74" s="115">
        <v>46150</v>
      </c>
      <c r="B74" s="116" t="s">
        <v>5</v>
      </c>
    </row>
    <row r="75" spans="1:4" x14ac:dyDescent="0.2">
      <c r="A75" s="115">
        <v>46208</v>
      </c>
      <c r="B75" s="116" t="s">
        <v>6</v>
      </c>
    </row>
    <row r="76" spans="1:4" x14ac:dyDescent="0.2">
      <c r="A76" s="115">
        <v>46209</v>
      </c>
      <c r="B76" s="116" t="s">
        <v>7</v>
      </c>
    </row>
    <row r="77" spans="1:4" x14ac:dyDescent="0.2">
      <c r="A77" s="115">
        <v>46293</v>
      </c>
      <c r="B77" s="116" t="s">
        <v>8</v>
      </c>
    </row>
    <row r="78" spans="1:4" x14ac:dyDescent="0.2">
      <c r="A78" s="115">
        <v>46323</v>
      </c>
      <c r="B78" s="116" t="s">
        <v>9</v>
      </c>
    </row>
    <row r="79" spans="1:4" x14ac:dyDescent="0.2">
      <c r="A79" s="115">
        <v>46343</v>
      </c>
      <c r="B79" s="116" t="s">
        <v>10</v>
      </c>
    </row>
    <row r="80" spans="1:4" x14ac:dyDescent="0.2">
      <c r="A80" s="115">
        <v>46380</v>
      </c>
      <c r="B80" s="116" t="s">
        <v>11</v>
      </c>
    </row>
    <row r="81" spans="1:2" x14ac:dyDescent="0.2">
      <c r="A81" s="115">
        <v>46381</v>
      </c>
      <c r="B81" s="116" t="s">
        <v>12</v>
      </c>
    </row>
    <row r="82" spans="1:2" x14ac:dyDescent="0.2">
      <c r="A82" s="115">
        <v>46382</v>
      </c>
      <c r="B82" s="116" t="s">
        <v>28</v>
      </c>
    </row>
    <row r="83" spans="1:2" x14ac:dyDescent="0.2">
      <c r="A83" s="115">
        <v>46388</v>
      </c>
      <c r="B83" s="116" t="s">
        <v>1</v>
      </c>
    </row>
    <row r="84" spans="1:2" x14ac:dyDescent="0.2">
      <c r="A84" s="115">
        <v>46472</v>
      </c>
      <c r="B84" s="116" t="s">
        <v>2</v>
      </c>
    </row>
    <row r="85" spans="1:2" x14ac:dyDescent="0.2">
      <c r="A85" s="115">
        <v>46475</v>
      </c>
      <c r="B85" s="116" t="s">
        <v>3</v>
      </c>
    </row>
    <row r="86" spans="1:2" x14ac:dyDescent="0.2">
      <c r="A86" s="115">
        <v>46508</v>
      </c>
      <c r="B86" s="116" t="s">
        <v>4</v>
      </c>
    </row>
    <row r="87" spans="1:2" x14ac:dyDescent="0.2">
      <c r="A87" s="115">
        <v>46515</v>
      </c>
      <c r="B87" s="116" t="s">
        <v>5</v>
      </c>
    </row>
    <row r="88" spans="1:2" x14ac:dyDescent="0.2">
      <c r="A88" s="115">
        <v>46573</v>
      </c>
      <c r="B88" s="116" t="s">
        <v>6</v>
      </c>
    </row>
    <row r="89" spans="1:2" x14ac:dyDescent="0.2">
      <c r="A89" s="115">
        <v>46574</v>
      </c>
      <c r="B89" s="116" t="s">
        <v>7</v>
      </c>
    </row>
    <row r="90" spans="1:2" x14ac:dyDescent="0.2">
      <c r="A90" s="115">
        <v>46658</v>
      </c>
      <c r="B90" s="116" t="s">
        <v>8</v>
      </c>
    </row>
    <row r="91" spans="1:2" x14ac:dyDescent="0.2">
      <c r="A91" s="115">
        <v>46688</v>
      </c>
      <c r="B91" s="116" t="s">
        <v>9</v>
      </c>
    </row>
    <row r="92" spans="1:2" x14ac:dyDescent="0.2">
      <c r="A92" s="115">
        <v>46708</v>
      </c>
      <c r="B92" s="116" t="s">
        <v>10</v>
      </c>
    </row>
    <row r="93" spans="1:2" x14ac:dyDescent="0.2">
      <c r="A93" s="115">
        <v>46745</v>
      </c>
      <c r="B93" s="116" t="s">
        <v>11</v>
      </c>
    </row>
    <row r="94" spans="1:2" x14ac:dyDescent="0.2">
      <c r="A94" s="115">
        <v>46746</v>
      </c>
      <c r="B94" s="116" t="s">
        <v>12</v>
      </c>
    </row>
    <row r="95" spans="1:2" x14ac:dyDescent="0.2">
      <c r="A95" s="115">
        <v>46747</v>
      </c>
      <c r="B95" s="116" t="s">
        <v>28</v>
      </c>
    </row>
    <row r="96" spans="1:2" x14ac:dyDescent="0.2">
      <c r="A96" s="115">
        <v>46753</v>
      </c>
      <c r="B96" s="116" t="s">
        <v>1</v>
      </c>
    </row>
    <row r="97" spans="1:2" x14ac:dyDescent="0.2">
      <c r="A97" s="115">
        <v>46857</v>
      </c>
      <c r="B97" s="116" t="s">
        <v>2</v>
      </c>
    </row>
    <row r="98" spans="1:2" x14ac:dyDescent="0.2">
      <c r="A98" s="115">
        <v>46860</v>
      </c>
      <c r="B98" s="116" t="s">
        <v>3</v>
      </c>
    </row>
    <row r="99" spans="1:2" x14ac:dyDescent="0.2">
      <c r="A99" s="115">
        <v>46874</v>
      </c>
      <c r="B99" s="116" t="s">
        <v>4</v>
      </c>
    </row>
    <row r="100" spans="1:2" x14ac:dyDescent="0.2">
      <c r="A100" s="115">
        <v>46881</v>
      </c>
      <c r="B100" s="116" t="s">
        <v>5</v>
      </c>
    </row>
    <row r="101" spans="1:2" x14ac:dyDescent="0.2">
      <c r="A101" s="115">
        <v>46939</v>
      </c>
      <c r="B101" s="116" t="s">
        <v>6</v>
      </c>
    </row>
    <row r="102" spans="1:2" x14ac:dyDescent="0.2">
      <c r="A102" s="115">
        <v>46940</v>
      </c>
      <c r="B102" s="116" t="s">
        <v>7</v>
      </c>
    </row>
    <row r="103" spans="1:2" x14ac:dyDescent="0.2">
      <c r="A103" s="115">
        <v>47024</v>
      </c>
      <c r="B103" s="116" t="s">
        <v>8</v>
      </c>
    </row>
    <row r="104" spans="1:2" x14ac:dyDescent="0.2">
      <c r="A104" s="115">
        <v>47054</v>
      </c>
      <c r="B104" s="116" t="s">
        <v>9</v>
      </c>
    </row>
    <row r="105" spans="1:2" x14ac:dyDescent="0.2">
      <c r="A105" s="115">
        <v>47074</v>
      </c>
      <c r="B105" s="116" t="s">
        <v>10</v>
      </c>
    </row>
    <row r="106" spans="1:2" x14ac:dyDescent="0.2">
      <c r="A106" s="115">
        <v>47111</v>
      </c>
      <c r="B106" s="116" t="s">
        <v>11</v>
      </c>
    </row>
    <row r="107" spans="1:2" x14ac:dyDescent="0.2">
      <c r="A107" s="115">
        <v>47112</v>
      </c>
      <c r="B107" s="116" t="s">
        <v>12</v>
      </c>
    </row>
    <row r="108" spans="1:2" x14ac:dyDescent="0.2">
      <c r="A108" s="115">
        <v>47113</v>
      </c>
      <c r="B108" s="116" t="s">
        <v>28</v>
      </c>
    </row>
    <row r="109" spans="1:2" x14ac:dyDescent="0.2">
      <c r="A109" s="115">
        <v>47119</v>
      </c>
      <c r="B109" s="116" t="s">
        <v>1</v>
      </c>
    </row>
    <row r="110" spans="1:2" x14ac:dyDescent="0.2">
      <c r="A110" s="115">
        <v>47207</v>
      </c>
      <c r="B110" s="116" t="s">
        <v>2</v>
      </c>
    </row>
    <row r="111" spans="1:2" x14ac:dyDescent="0.2">
      <c r="A111" s="115">
        <v>47210</v>
      </c>
      <c r="B111" s="116" t="s">
        <v>3</v>
      </c>
    </row>
    <row r="112" spans="1:2" x14ac:dyDescent="0.2">
      <c r="A112" s="115">
        <v>47239</v>
      </c>
      <c r="B112" s="116" t="s">
        <v>4</v>
      </c>
    </row>
    <row r="113" spans="1:2" x14ac:dyDescent="0.2">
      <c r="A113" s="115">
        <v>47246</v>
      </c>
      <c r="B113" s="116" t="s">
        <v>5</v>
      </c>
    </row>
    <row r="114" spans="1:2" x14ac:dyDescent="0.2">
      <c r="A114" s="115">
        <v>47304</v>
      </c>
      <c r="B114" s="116" t="s">
        <v>6</v>
      </c>
    </row>
    <row r="115" spans="1:2" x14ac:dyDescent="0.2">
      <c r="A115" s="115">
        <v>47305</v>
      </c>
      <c r="B115" s="116" t="s">
        <v>7</v>
      </c>
    </row>
    <row r="116" spans="1:2" x14ac:dyDescent="0.2">
      <c r="A116" s="115">
        <v>47389</v>
      </c>
      <c r="B116" s="116" t="s">
        <v>8</v>
      </c>
    </row>
    <row r="117" spans="1:2" x14ac:dyDescent="0.2">
      <c r="A117" s="115">
        <v>47419</v>
      </c>
      <c r="B117" s="116" t="s">
        <v>9</v>
      </c>
    </row>
    <row r="118" spans="1:2" x14ac:dyDescent="0.2">
      <c r="A118" s="115">
        <v>47439</v>
      </c>
      <c r="B118" s="116" t="s">
        <v>10</v>
      </c>
    </row>
    <row r="119" spans="1:2" x14ac:dyDescent="0.2">
      <c r="A119" s="115">
        <v>47476</v>
      </c>
      <c r="B119" s="116" t="s">
        <v>11</v>
      </c>
    </row>
    <row r="120" spans="1:2" x14ac:dyDescent="0.2">
      <c r="A120" s="115">
        <v>47477</v>
      </c>
      <c r="B120" s="116" t="s">
        <v>12</v>
      </c>
    </row>
    <row r="121" spans="1:2" x14ac:dyDescent="0.2">
      <c r="A121" s="118">
        <v>47478</v>
      </c>
      <c r="B121" s="119" t="s">
        <v>28</v>
      </c>
    </row>
  </sheetData>
  <pageMargins bottom="0.78740157499999996" footer="0.3" header="0.3" left="0.7" right="0.7" top="0.78740157499999996"/>
  <pageSetup orientation="portrait" paperSize="9" r:id="rId1"/>
  <tableParts count="1">
    <tablePart r:id="rId2"/>
  </tableParts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4B16E56CD10241B7A4AE90DD862C1C" ma:contentTypeVersion="2" ma:contentTypeDescription="Vytvoří nový dokument" ma:contentTypeScope="" ma:versionID="f773ddf8fc7f8b48dfd0fea165076e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bb0b85cf6ec3df31f7bbb0953499e4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D59F70F-FCB2-4434-9288-1BA871466B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3086333-DBC1-4273-9B89-40B9BF38B8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3DBDA9-8786-4740-BB7E-6E8808CE9F4C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baseType="lpstr" size="5">
      <vt:lpstr>Kalkulačka</vt:lpstr>
      <vt:lpstr>Finanční plán</vt:lpstr>
      <vt:lpstr>Pomocný list</vt:lpstr>
      <vt:lpstr>kapacita</vt:lpstr>
      <vt:lpstr>Kalkulačka!Oblast_tisku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2022-10-10T09:37:40Z</dcterms:created>
  <cp:lastPrinted>2022-10-18T12:57:05Z</cp:lastPrinted>
  <dcterms:modified xsi:type="dcterms:W3CDTF">2025-04-22T07:05:18Z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0x010100D14B16E56CD10241B7A4AE90DD862C1C</vt:lpwstr>
  </property>
</Properties>
</file>